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000_Projekti\aa_predsed komisije\2023-164 - NMV Revitalizacija Ilirska Bistrica\Usklajevanje RD\"/>
    </mc:Choice>
  </mc:AlternateContent>
  <xr:revisionPtr revIDLastSave="0" documentId="13_ncr:1_{DFC3B19E-9889-4E6E-8202-D213731EAA07}" xr6:coauthVersionLast="47" xr6:coauthVersionMax="47" xr10:uidLastSave="{00000000-0000-0000-0000-000000000000}"/>
  <bookViews>
    <workbookView xWindow="28680" yWindow="-120" windowWidth="29040" windowHeight="17520" tabRatio="676" activeTab="2" xr2:uid="{0D5BBFB3-2397-4792-996F-5962DEC460BB}"/>
  </bookViews>
  <sheets>
    <sheet name="REKAPITULACIJA" sheetId="2" r:id="rId1"/>
    <sheet name="Uvodna stran" sheetId="3" r:id="rId2"/>
    <sheet name="Popis del" sheetId="2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8" i="29" l="1"/>
  <c r="F47" i="29"/>
  <c r="F224" i="29"/>
  <c r="F225" i="29"/>
  <c r="F222" i="29"/>
  <c r="F223" i="29"/>
  <c r="F200" i="29"/>
  <c r="F221" i="29" l="1"/>
  <c r="F59" i="2" s="1"/>
  <c r="F188" i="29"/>
  <c r="F41" i="29"/>
  <c r="F217" i="29"/>
  <c r="F216" i="29" s="1"/>
  <c r="F55" i="2" s="1"/>
  <c r="F95" i="29"/>
  <c r="F122" i="29"/>
  <c r="F121" i="29"/>
  <c r="F89" i="29"/>
  <c r="F85" i="29"/>
  <c r="F84" i="29"/>
  <c r="F68" i="29"/>
  <c r="F77" i="29"/>
  <c r="F76" i="29"/>
  <c r="F195" i="29"/>
  <c r="F205" i="29"/>
  <c r="F215" i="29"/>
  <c r="F209" i="29"/>
  <c r="F208" i="29" s="1"/>
  <c r="F53" i="2" s="1"/>
  <c r="F193" i="29"/>
  <c r="F192" i="29"/>
  <c r="F184" i="29"/>
  <c r="F183" i="29"/>
  <c r="F220" i="29" l="1"/>
  <c r="F58" i="2" s="1"/>
  <c r="F120" i="29"/>
  <c r="F194" i="29"/>
  <c r="F191" i="29"/>
  <c r="F190" i="29"/>
  <c r="F187" i="29"/>
  <c r="F186" i="29" s="1"/>
  <c r="F46" i="2" s="1"/>
  <c r="F185" i="29"/>
  <c r="F182" i="29"/>
  <c r="F181" i="29"/>
  <c r="F180" i="29"/>
  <c r="F179" i="29"/>
  <c r="F178" i="29"/>
  <c r="F177" i="29"/>
  <c r="F176" i="29"/>
  <c r="F174" i="29"/>
  <c r="F173" i="29" s="1"/>
  <c r="F44" i="2" s="1"/>
  <c r="F172" i="29"/>
  <c r="F171" i="29"/>
  <c r="F166" i="29"/>
  <c r="F165" i="29"/>
  <c r="F164" i="29"/>
  <c r="F162" i="29"/>
  <c r="F160" i="29"/>
  <c r="F159" i="29" s="1"/>
  <c r="F158" i="29"/>
  <c r="F157" i="29"/>
  <c r="F156" i="29"/>
  <c r="F155" i="29"/>
  <c r="F154" i="29"/>
  <c r="F152" i="29"/>
  <c r="F151" i="29"/>
  <c r="F150" i="29" l="1"/>
  <c r="F35" i="2" s="1"/>
  <c r="F170" i="29"/>
  <c r="F43" i="2" s="1"/>
  <c r="F175" i="29"/>
  <c r="F45" i="2" s="1"/>
  <c r="F189" i="29"/>
  <c r="F47" i="2" s="1"/>
  <c r="F37" i="2"/>
  <c r="F161" i="29"/>
  <c r="F38" i="2" s="1"/>
  <c r="F163" i="29"/>
  <c r="F39" i="2" s="1"/>
  <c r="F153" i="29"/>
  <c r="F36" i="2" s="1"/>
  <c r="F169" i="29" l="1"/>
  <c r="F42" i="2" s="1"/>
  <c r="F149" i="29"/>
  <c r="F34" i="2" s="1"/>
  <c r="F119" i="29" l="1"/>
  <c r="F118" i="29"/>
  <c r="F116" i="29"/>
  <c r="F115" i="29"/>
  <c r="F114" i="29"/>
  <c r="F113" i="29"/>
  <c r="F111" i="29"/>
  <c r="F110" i="29"/>
  <c r="F109" i="29"/>
  <c r="F108" i="29"/>
  <c r="F107" i="29"/>
  <c r="F106" i="29"/>
  <c r="F105" i="29"/>
  <c r="F103" i="29"/>
  <c r="F102" i="29"/>
  <c r="F101" i="29"/>
  <c r="F100" i="29"/>
  <c r="F25" i="2"/>
  <c r="F213" i="29"/>
  <c r="F212" i="29"/>
  <c r="F214" i="29"/>
  <c r="F112" i="29" l="1"/>
  <c r="F117" i="29"/>
  <c r="F17" i="2"/>
  <c r="F138" i="29"/>
  <c r="F132" i="29"/>
  <c r="F144" i="29"/>
  <c r="F143" i="29"/>
  <c r="F142" i="29"/>
  <c r="F145" i="29"/>
  <c r="F139" i="29"/>
  <c r="F140" i="29"/>
  <c r="F141" i="29"/>
  <c r="F146" i="29"/>
  <c r="F134" i="29"/>
  <c r="F104" i="29" l="1"/>
  <c r="F203" i="29"/>
  <c r="F202" i="29"/>
  <c r="F201" i="29"/>
  <c r="F82" i="29"/>
  <c r="F43" i="29"/>
  <c r="F44" i="29"/>
  <c r="F45" i="29"/>
  <c r="F28" i="29"/>
  <c r="F55" i="29"/>
  <c r="F36" i="29"/>
  <c r="F37" i="29"/>
  <c r="F38" i="29"/>
  <c r="F39" i="29"/>
  <c r="F24" i="29"/>
  <c r="F25" i="29"/>
  <c r="F26" i="29"/>
  <c r="F27" i="29"/>
  <c r="F4" i="29"/>
  <c r="F211" i="29"/>
  <c r="F210" i="29" s="1"/>
  <c r="F54" i="2" s="1"/>
  <c r="F207" i="29"/>
  <c r="F206" i="29"/>
  <c r="F135" i="29"/>
  <c r="F131" i="29"/>
  <c r="F130" i="29"/>
  <c r="F129" i="29"/>
  <c r="F128" i="29"/>
  <c r="F127" i="29"/>
  <c r="F94" i="29"/>
  <c r="F93" i="29"/>
  <c r="F92" i="29"/>
  <c r="F91" i="29"/>
  <c r="F88" i="29"/>
  <c r="F87" i="29"/>
  <c r="F83" i="29"/>
  <c r="F81" i="29"/>
  <c r="F80" i="29"/>
  <c r="F78" i="29"/>
  <c r="F75" i="29"/>
  <c r="F74" i="29"/>
  <c r="F73" i="29"/>
  <c r="F72" i="29"/>
  <c r="F71" i="29"/>
  <c r="F70" i="29"/>
  <c r="F67" i="29"/>
  <c r="F66" i="29"/>
  <c r="F65" i="29"/>
  <c r="F64" i="29"/>
  <c r="F59" i="29"/>
  <c r="F58" i="29"/>
  <c r="F56" i="29"/>
  <c r="F54" i="29"/>
  <c r="F53" i="29"/>
  <c r="F52" i="29"/>
  <c r="F50" i="29"/>
  <c r="F49" i="29"/>
  <c r="F46" i="29"/>
  <c r="F40" i="29"/>
  <c r="F35" i="29"/>
  <c r="F34" i="29"/>
  <c r="F33" i="29"/>
  <c r="F32" i="29"/>
  <c r="F23" i="29"/>
  <c r="F22" i="29"/>
  <c r="F21" i="29"/>
  <c r="F20" i="29"/>
  <c r="F19" i="29"/>
  <c r="F18" i="29"/>
  <c r="F17" i="29"/>
  <c r="F16" i="29"/>
  <c r="F15" i="29"/>
  <c r="F14" i="29"/>
  <c r="F13" i="29"/>
  <c r="F12" i="29"/>
  <c r="F11" i="29"/>
  <c r="F10" i="29"/>
  <c r="F9" i="29"/>
  <c r="F8" i="29"/>
  <c r="F7" i="29"/>
  <c r="F6" i="29"/>
  <c r="F5" i="29"/>
  <c r="F199" i="29" l="1"/>
  <c r="F204" i="29"/>
  <c r="F52" i="2" s="1"/>
  <c r="F137" i="29"/>
  <c r="F31" i="2" s="1"/>
  <c r="F126" i="29"/>
  <c r="F99" i="29"/>
  <c r="F90" i="29"/>
  <c r="F63" i="29"/>
  <c r="F14" i="2" s="1"/>
  <c r="F69" i="29"/>
  <c r="F15" i="2" s="1"/>
  <c r="F86" i="29"/>
  <c r="F79" i="29"/>
  <c r="F31" i="29"/>
  <c r="F7" i="2" s="1"/>
  <c r="F51" i="29"/>
  <c r="F9" i="2" s="1"/>
  <c r="F42" i="29"/>
  <c r="F8" i="2" s="1"/>
  <c r="F3" i="29"/>
  <c r="F51" i="2" l="1"/>
  <c r="F198" i="29"/>
  <c r="F50" i="2" s="1"/>
  <c r="F22" i="2"/>
  <c r="F98" i="29"/>
  <c r="F21" i="2" s="1"/>
  <c r="F16" i="2"/>
  <c r="F23" i="2"/>
  <c r="F18" i="2"/>
  <c r="F24" i="2"/>
  <c r="F125" i="29"/>
  <c r="F30" i="2"/>
  <c r="F62" i="29"/>
  <c r="F13" i="2" s="1"/>
  <c r="F5" i="2"/>
  <c r="F29" i="2" l="1"/>
  <c r="F26" i="2"/>
  <c r="F57" i="29"/>
  <c r="F30" i="29" l="1"/>
  <c r="F6" i="2" s="1"/>
  <c r="F10" i="2"/>
  <c r="F61" i="2" l="1"/>
  <c r="F63" i="2" s="1"/>
  <c r="F65" i="2" s="1"/>
  <c r="F66" i="2" s="1"/>
  <c r="F67" i="2" s="1"/>
</calcChain>
</file>

<file path=xl/sharedStrings.xml><?xml version="1.0" encoding="utf-8"?>
<sst xmlns="http://schemas.openxmlformats.org/spreadsheetml/2006/main" count="1344" uniqueCount="445">
  <si>
    <t>Poz.</t>
  </si>
  <si>
    <t>m1</t>
  </si>
  <si>
    <t>REKAPITULACIJA</t>
  </si>
  <si>
    <t>Količina</t>
  </si>
  <si>
    <t>Skupaj</t>
  </si>
  <si>
    <t>SKUPAJ Z DDV</t>
  </si>
  <si>
    <t>Enota cene mora vsebovati:</t>
  </si>
  <si>
    <t>vsa potrebna pripravljalna dela,</t>
  </si>
  <si>
    <t>vsa potrebna merjenja na objektu,</t>
  </si>
  <si>
    <t>vse potrebne transporte do mesta vgrajevanja,</t>
  </si>
  <si>
    <t>skladiščenje materiala na gradbišču,</t>
  </si>
  <si>
    <t>pripravo in izdelavo vzorcev vgrajenih materialov in opreme,</t>
  </si>
  <si>
    <t>vso potrebno delo za dokončanje izdelka,</t>
  </si>
  <si>
    <t xml:space="preserve">vsa potrebna pomožna sredstva na objektu kot so lestve, odri in podobno, </t>
  </si>
  <si>
    <t xml:space="preserve">usklajevanje z osnovnim načrtom in posvetovanje s projektantom,  </t>
  </si>
  <si>
    <t>terminsko usklajevanje del z ostalimi izvajalci na objektu,</t>
  </si>
  <si>
    <t>popravilo eventuelne škode povzročene ostalim izvajalcem na gradbišču,</t>
  </si>
  <si>
    <t>čiščenje in odvoz odvečnega materiala v stalno deponijo,</t>
  </si>
  <si>
    <t>plačilo komunalnega prispevka za stalno deponijo odpadnega materiala.</t>
  </si>
  <si>
    <t>SPLOŠNO</t>
  </si>
  <si>
    <t>-</t>
  </si>
  <si>
    <t>IZVAJALEC MORA PRED PRIČETKOM DEL OBVEZNO PREVERITI VSE MERE NA OBJEKTU!</t>
  </si>
  <si>
    <t>stroške pridobitve vseh potrebnih dovoljenj</t>
  </si>
  <si>
    <t>stroške del in storitev, ki izhajajo iz zahtev soglasij in projektnih pogojev pristojnih soglasodajalcev</t>
  </si>
  <si>
    <t>stroške, vezane na izpolnjevanje okoljskih zahtev</t>
  </si>
  <si>
    <t>stroške izvedbe ukrepov za zagotavljanje varnosti in varstvu pri delu</t>
  </si>
  <si>
    <t xml:space="preserve">stroške prestavitev in ureditev komunalno-energetske infrastrukture in drugih naprav </t>
  </si>
  <si>
    <t>stroške izvedbe in vzdrževanja dostopnih in gradbiščnih poti</t>
  </si>
  <si>
    <t>stroške čiščenja terena, odstranitev ovir, urejanje terena in vrnitev v prvotno stanje</t>
  </si>
  <si>
    <t>stroške izdelave elaboratov za izvedbo prometnih zapor cest, stroški pridobivanja ustreznih soglasij in dovoljenj, kot tudi vsi stroški izdelave in vzdrževanja  prometnih zapor, obvozov, gradbenih in drugih priključkov ter drugih ukrepov za normalno odvijanje prometa</t>
  </si>
  <si>
    <t>stroške izvedbe vseh izvajalčevih tekočih kontrol kvalitete, vključno z vmesnimi in končnimi poročili, vse v smislu dokazovanja kvalitete izvedenih del</t>
  </si>
  <si>
    <t>stroške preiskav za pridobitev atestov, preskušanje in za preiskave tehnologije</t>
  </si>
  <si>
    <t>stroške testiranj na sedežu ponudnika, naročnika ali zunanjih izvajalcev</t>
  </si>
  <si>
    <t>vse stroške izdelave zahtevanih vzorcev</t>
  </si>
  <si>
    <t>stroške potrebnih merjenj opravljenih količin in kontrolnih merjenj</t>
  </si>
  <si>
    <t>stroške dobave in vgradnje materiala, naprav in opreme, pritrdilnega in drobnega materiala, ki so potrebne za izvedbo del skladno z razpisno in projektno dokumentacijo</t>
  </si>
  <si>
    <t>stroške, ki niso posebej specifirani in opredeljeni v posameznih postavkah  pogodbenega predračuna in so v skladu s pravili stroke in pravilnimi postopki izvajanja del in storitev nujno potrebni za izvedbo in predajo posameznih del, tako, da izvajalec nima pravice zahtevati nikakršnega doplačila na ponudbeno ceno za posamezno postavko</t>
  </si>
  <si>
    <t>stroške vmesnih in finalnih čiščenj</t>
  </si>
  <si>
    <t>vse ponudbene postavke, razen kjer to ni posebej navedeno,  predstavljajo dobavo in montažo z vsemi zunanjimi in notranjimi transporti</t>
  </si>
  <si>
    <t>Vse stroške odprave poškodb in vse stroške nastale zaradi poškodb kablov in komunalnih vodov oziroma naprav med izvajanjem del za katere je izvajalec vedel oz. bi moral vedeti</t>
  </si>
  <si>
    <t>KONČNA VREDNOST BREZ DDV</t>
  </si>
  <si>
    <t>22% DDV</t>
  </si>
  <si>
    <t>GRADBENA DELA</t>
  </si>
  <si>
    <t>m3</t>
  </si>
  <si>
    <t>m2</t>
  </si>
  <si>
    <t>kos</t>
  </si>
  <si>
    <t>PRIPRAVLJALNA DELA</t>
  </si>
  <si>
    <t>kpl</t>
  </si>
  <si>
    <t>ura</t>
  </si>
  <si>
    <t xml:space="preserve">IZVAJALEC DEL MORA SKLADNO Z ZAKONOM O GRADITVI OBJEKTOV VGRAJEVATI USTREZNE GRADBENE PROIZVODE Z VNAPREJ IZDELANIMI DELAVNIŠKIMI NAČRTI, KI MORAJO BITI POTRJENI S STRANI PROJEKTANTA. </t>
  </si>
  <si>
    <t xml:space="preserve">IZVAJALEC MORA V ENOTNIH CENAH ZAJETI STROŠEK ČUVAJSKE SLUŽBE </t>
  </si>
  <si>
    <t>SKUPAJ</t>
  </si>
  <si>
    <t>Opis postavke</t>
  </si>
  <si>
    <t>Em</t>
  </si>
  <si>
    <t>Cena/Em</t>
  </si>
  <si>
    <t>A</t>
  </si>
  <si>
    <t>A.1</t>
  </si>
  <si>
    <t>A.2</t>
  </si>
  <si>
    <t>A.3</t>
  </si>
  <si>
    <t>A.4</t>
  </si>
  <si>
    <t>A.5</t>
  </si>
  <si>
    <t>A.6</t>
  </si>
  <si>
    <t>A.7</t>
  </si>
  <si>
    <t>A.8</t>
  </si>
  <si>
    <t>A.9</t>
  </si>
  <si>
    <t>A.10</t>
  </si>
  <si>
    <t>A.11</t>
  </si>
  <si>
    <t>A.12</t>
  </si>
  <si>
    <t>A.13</t>
  </si>
  <si>
    <t>A.14</t>
  </si>
  <si>
    <t>A.15</t>
  </si>
  <si>
    <t>A.16</t>
  </si>
  <si>
    <t>A.17</t>
  </si>
  <si>
    <t>A.18</t>
  </si>
  <si>
    <t>A.19</t>
  </si>
  <si>
    <t>A.20</t>
  </si>
  <si>
    <t>A.21</t>
  </si>
  <si>
    <t>Ureditev gradbišča skladno z "GZ" in odstranitev po zaključku del.</t>
  </si>
  <si>
    <t>Odstranitev oken in vrat kompletno s podboji in zaključki - velikosti do 3m2.</t>
  </si>
  <si>
    <t>Odstranitev oken in vrat kompletno s podboji in zaključki - velikosti nad 3m2.</t>
  </si>
  <si>
    <t>A.22</t>
  </si>
  <si>
    <t>A.23</t>
  </si>
  <si>
    <t>A.24</t>
  </si>
  <si>
    <t>A.25</t>
  </si>
  <si>
    <t>Pregled obstoječih stenskih ometov, odbijanje poškodovanih ometov.</t>
  </si>
  <si>
    <t>Pregled in čiščenje kamnitih zidov ter odstranitev poškodovanih delov, vključno  s fugami - fasadna površina.</t>
  </si>
  <si>
    <t>Pregled in čiščenje kamnitih zidov ter odstranitev poškodovanih delov, vključno  s fugami - notranje kamnite in opečne površine.</t>
  </si>
  <si>
    <t>Čiščenje stenskih kamnitih in opečnih površin po odstranitvi ometov in poškodovanih  kamnitih površin - nizkotlačno peskanje.</t>
  </si>
  <si>
    <t>Dobava in izdelava grobega in finega ometa opečnih sten z g.p.m. 1:2:6  s predhodno izdelavo cementnega obrizga. Debelina ometa do 3 cm.</t>
  </si>
  <si>
    <t>Vzidava oken in vrat ne glede na velikost.</t>
  </si>
  <si>
    <t>Ponovno fugiranje očiščenih kamnitih zidov v enaki izvedbi in materialu kot obstoječe fuge. Izvedba po navodilih ZVKDRS.</t>
  </si>
  <si>
    <t>Ponovno fugiranje očiščenih opečnih površin v enaki izvedbi in materialu kot obstoječe fuge. Izvedba po navodilih ZVKDRS.</t>
  </si>
  <si>
    <t>Izdelava armiranobetonskega ležišča za sidranje - naleganje  kovinskega pokrova nad vodnjakom premera cca 320 cm. Presek cca 30 x 20 cm, kompletno z betonom C 25/30, opažem in armaturo ter sidranjem.</t>
  </si>
  <si>
    <t>Izravnava, čiščenje obstoječih tlakov v pritličju.</t>
  </si>
  <si>
    <t>Dobava in vgrajevanje betona C 12/15 v debelini cca 5 cm. Priprava za horizontalno hidroizolacijo.</t>
  </si>
  <si>
    <t>Dobava in izdelava horizontalne hidroizolacije v sestavi:
- hladni bitumenski premaz, 300 g/m2, npr. IBITOL HS,
- enoslojna bitumenska hidroizolacija deb. 5 mm, polno varjena, s preklopi, npr. IZOTEKT P5.</t>
  </si>
  <si>
    <t xml:space="preserve">Dobava in izdelava tlakov v sestavi:
- ekspandirani polistiren debeline 4 cm, EPS 150 
- mikroarmirani cementni estrih C 16/20, debeline 5 cm, zaglajen kot finalni tlak, 
- protiprašni premaz npr. EPOKSI 
Površina kot podlaga za naknadno polaganje finalnega tlaka.
</t>
  </si>
  <si>
    <t>Razna manjša in nepredvidena gradbena dela. Obračun po potrditvi nadzornega organa. Ocena. - KV delavec</t>
  </si>
  <si>
    <t>Razna manjša in nepredvidena gradbena dela. Obračun po potrditvi nadzornega organa. Ocena. - PK delavec</t>
  </si>
  <si>
    <t>Razna manjša in nepredvidena gradbena dela. Obračun po potrditvi nadzornega organa. Ocena. - NK delavec</t>
  </si>
  <si>
    <t>Lahki premični delovni odri višine do 2 m. Upoštevana 1 x netto površina za vse faze izvedbe GO del.</t>
  </si>
  <si>
    <t>B</t>
  </si>
  <si>
    <t>OBRTNIŠKA DELA</t>
  </si>
  <si>
    <t>B.I.1</t>
  </si>
  <si>
    <t>B.I</t>
  </si>
  <si>
    <t>B.I.2</t>
  </si>
  <si>
    <t>B.I.3</t>
  </si>
  <si>
    <t>B.I.4</t>
  </si>
  <si>
    <t>B.I.5</t>
  </si>
  <si>
    <t>B.I.6</t>
  </si>
  <si>
    <t>B.I.7</t>
  </si>
  <si>
    <t>B.I.8</t>
  </si>
  <si>
    <t>B.I.9</t>
  </si>
  <si>
    <t>TESARSKA IN KROVSKO KLEPARSKA DELA</t>
  </si>
  <si>
    <t>Izdelava, dobava in montaža  lesene strešne konstrukcije iz rezanega smrekovega lesa, z vsem pritrdilnim in veznim materialom, antiglivičnim remazom. Vidni deli skoblani in pleskani. Poraba lesa do 0,04 m3/m2. Enokapna streha.</t>
  </si>
  <si>
    <t>Dobava in pritrjevanje smrekovih letev preseka 4 x 5 cm, za pokrivanje z opečnimi korci.</t>
  </si>
  <si>
    <t>Dobava in pritrjevanje smrekovih antiglivično zaščitenih desk debeline 2,4 cm, na  špirovce.</t>
  </si>
  <si>
    <t>Dobava in pokrivanje strehe z opečnimi korci, po navodilih proizvajalca.</t>
  </si>
  <si>
    <t>Izdelava, dobava in montaža  okroglih odtočnih cevi fi 100 mm iz pocinakne barvane pločevine debeline 0,60 mm.</t>
  </si>
  <si>
    <t>Izdelava, dobava in montaža  priključka iz žlebu na vertikalno dotočno cev fi 100 mm.</t>
  </si>
  <si>
    <t>Pregled obstoječe lesene strešne konstrukcije, čiščenje in barvanje po izboru projektanta. Vešalna konstrukcija. Upoštevana tlorisna površina. Točen obseg del se določi na licu mesta.</t>
  </si>
  <si>
    <t>Izdelava, dobava in montaža visečih polkrožnih žlebov iz pocinkane barvane pločevine deb. 0,60 mm, razvite širine 40 cm, kompletno s kljukami za montažo.</t>
  </si>
  <si>
    <t>B.II</t>
  </si>
  <si>
    <t>B.II.1</t>
  </si>
  <si>
    <t>B.II.2</t>
  </si>
  <si>
    <t>B.II.3</t>
  </si>
  <si>
    <t>B.II.4</t>
  </si>
  <si>
    <t>B.II.5</t>
  </si>
  <si>
    <t>B.II.6</t>
  </si>
  <si>
    <t>KLJUČAVNIČARSKA DELA</t>
  </si>
  <si>
    <t>Pregled, čiščenje, antikorozijska zaščita in pleskanje kovinskih nosilcev I 400.  Nosilci rezervoarja za vodo, na višini cca 485 cm, vključno z vsem pritrdilnim in sidrnim materialom. Točen obseg del se določi na licu mesta.</t>
  </si>
  <si>
    <t>Izdelava, dobava in montaža  polkrožnega fiksnega okna nad vhodnimi vrati v vodni stolp. Okno izdelano iz kovinskih finalno pleskanih profilov in zastekljeno s termopan steklom (r = 90 cm). Okno širine 180 cm. Izvedba kot nadsvetloba.</t>
  </si>
  <si>
    <t>Enako kot postavka B.II.5, samo obnova - pleskanje kovinskih rezervoarjev za vodo na koti 485 cm na I nosilci.</t>
  </si>
  <si>
    <t>B.III</t>
  </si>
  <si>
    <t>B.III.1</t>
  </si>
  <si>
    <t>B.III.2</t>
  </si>
  <si>
    <t>B.III.3</t>
  </si>
  <si>
    <t>B.III.4</t>
  </si>
  <si>
    <t>B.III.5</t>
  </si>
  <si>
    <t>Čiščenje rastlinja in popenjalk na zidovih in strehi pomožnega objekta.</t>
  </si>
  <si>
    <t>Dobava in montaža  hrastovih plohov debeline 4,5 cm. Zapora odprtine na koti + 485 m, vključno z eventuelno podkonstrukcijo.</t>
  </si>
  <si>
    <t>Izdelava, dobava in montaža nastopnih ploskev stopnic iz masivnega hrastovega lesa. Montaža na pripravljeno kovinsko konstrukcijo. V enotni ceni upoštevati izdelavo kovinske konstrukcije, finalno pleskana in stopniščno ograjo iz kovinskih profilov višine 100 cm.  Enoramne stopnice širine 90 cm, etažna višina 485 cm.</t>
  </si>
  <si>
    <t>B.IV.</t>
  </si>
  <si>
    <t>RAZNA DELA</t>
  </si>
  <si>
    <t>B.IV.1</t>
  </si>
  <si>
    <t>B.IV.2</t>
  </si>
  <si>
    <t>Slikanje ometanih sten z apneno barvo, vključno s predhodno pripravo podlage.</t>
  </si>
  <si>
    <t>Izdelava, dobava in montaža "okna" izdelanega iz kovinskih nosilnih okvirjev in polnilom kot železna rešetka. Okno zgoraj polkrožno. Vsi kovinski deli finalno barvani po izboru ZVKDRS.</t>
  </si>
  <si>
    <t>B.IV</t>
  </si>
  <si>
    <t>KROVSKO KLEPARSKA IN TESARSKA DELA</t>
  </si>
  <si>
    <t>MIZARSKA DELA</t>
  </si>
  <si>
    <t>Odstranitev strehe nad pomožnim objektom, kompletno z  leseno konstrukcijo, kritino in obrobami. Enokapnica.</t>
  </si>
  <si>
    <t>C</t>
  </si>
  <si>
    <t>C.I</t>
  </si>
  <si>
    <t>C.I.1</t>
  </si>
  <si>
    <t>C.I.2</t>
  </si>
  <si>
    <t>C.I.3</t>
  </si>
  <si>
    <t>C.I.4</t>
  </si>
  <si>
    <t>C.II</t>
  </si>
  <si>
    <t>RUŠITVENA DELA</t>
  </si>
  <si>
    <t>C.II.1</t>
  </si>
  <si>
    <t>C.II.2</t>
  </si>
  <si>
    <t>C.II.3</t>
  </si>
  <si>
    <t>C.II.4</t>
  </si>
  <si>
    <t>C.II.5</t>
  </si>
  <si>
    <t>C.II.6</t>
  </si>
  <si>
    <t>C.II.7</t>
  </si>
  <si>
    <t>Odbijanje slabega zaključnega ometa v debelini 3-5mm - ocena.</t>
  </si>
  <si>
    <t>Ureditev gradbišča komplet z varovalno ograjo.</t>
  </si>
  <si>
    <t>Zaključna dela ter čiščenje na koncu del.</t>
  </si>
  <si>
    <t>Postavitev ter odstranitev fasadnega odra z zaščitno ponjavo ter zaščito nad vhodom.</t>
  </si>
  <si>
    <t>Zaščita oken, vrat  s PVC folijo.</t>
  </si>
  <si>
    <t>Odstranitev raznih manjših konzol s fasade (za kable in podobno).</t>
  </si>
  <si>
    <t>Začasna odstranitev odtočnih pocinkanih cevi ø 110mm ter ponovna montaža po končanih delih.</t>
  </si>
  <si>
    <t>Visokotlačno pranje fasade z baromatom in ročno struganje fasade skupaj z burdurami ter kamnitimi okenskimi policami.</t>
  </si>
  <si>
    <t>Visokotlačno pranje kamnitega cokla z baromatom.</t>
  </si>
  <si>
    <t>Odbijanje slabega  ometa v debelini 20-30mm  ocena</t>
  </si>
  <si>
    <t>Ročno nakladanje na kamion in odvoz ruševin na komunalno deponijo na razdaljo cca 13 km, s plačilom vseh stroškov - ocena.</t>
  </si>
  <si>
    <t>C.III</t>
  </si>
  <si>
    <t>C.III.1</t>
  </si>
  <si>
    <t>C.III.2</t>
  </si>
  <si>
    <t>C.III.3</t>
  </si>
  <si>
    <t>C.III.4</t>
  </si>
  <si>
    <t>C.IV</t>
  </si>
  <si>
    <t>SLIKOPLESKARSKA DELA</t>
  </si>
  <si>
    <t>C.IV.1</t>
  </si>
  <si>
    <t>C.IV.2</t>
  </si>
  <si>
    <t xml:space="preserve">Izvedba armiranega sloja z osnovnim ometom kot npr. JUBIZOL lepilna malta 2x in armaturno mrežico 160g/m2 (kot npr. Jubizol armaturna mrežica), komplet z dobavo in pritrjevanjem vogalnikov za ojačitev vogalov . Izvedba zaključnega dekorativnega tankoslojnega higroskopičnega zaključnega ometa, silikonski - granulacije 1,5mm v eni barvi (barvo določi investitor). </t>
  </si>
  <si>
    <t>Zidarsko popravilo  okenskih špalet (komplet z vsem materialom - lepilom in mrežico, vogalniki in odkapniki)</t>
  </si>
  <si>
    <t>Grobi omet fasade - krpanje predhodno odbitega ometa z apneno cementno malto - ocena</t>
  </si>
  <si>
    <t>Osnovni premaz fasade z razredčeno akril emulzijo  v barvi fasade</t>
  </si>
  <si>
    <t xml:space="preserve">Barvanje lesenih delov  z barvo za les  s predhodnim struganjem in čiščenjem, v tonu, ki ga določi investitor </t>
  </si>
  <si>
    <t>C.V</t>
  </si>
  <si>
    <t>C.V.1</t>
  </si>
  <si>
    <t>Delno popravilo fug kamnitega cokla s cem.malto</t>
  </si>
  <si>
    <t>RAZNO</t>
  </si>
  <si>
    <t>ZIDARSKO FASADERSKA DELA</t>
  </si>
  <si>
    <t>C.V.2</t>
  </si>
  <si>
    <t>C.V.3</t>
  </si>
  <si>
    <t>C.V.4</t>
  </si>
  <si>
    <t>REVITALIZACIJA OBJEKTOV NA POSTAJI ILIRSKA BISTRICA</t>
  </si>
  <si>
    <t>D.I</t>
  </si>
  <si>
    <t>D.II</t>
  </si>
  <si>
    <t>E.</t>
  </si>
  <si>
    <t>IZGRADNJA DELA TIRA 1</t>
  </si>
  <si>
    <t>E.I</t>
  </si>
  <si>
    <t>E.II</t>
  </si>
  <si>
    <t>TIRI IN TIRNE NAPRAVE</t>
  </si>
  <si>
    <t>PRIPRAVLJALNA IN ZAKLJUČNA DELA</t>
  </si>
  <si>
    <t>Priprava in organizacija gradbišča z vsemi objekti, instalacijami, zagotovitev varnostnih in higiensko tehničnih pogojev, začasne transportne poti, oznakami gradbišča ter kasnejša odstranitev vseh objektov in vzpostavitev prvotnega stanja na uporabljenih površinah - ocena.</t>
  </si>
  <si>
    <t>Obnova in zavarovanje zakoličbe osi tirov in kretnic.</t>
  </si>
  <si>
    <t>TIRNE NAPRAVE</t>
  </si>
  <si>
    <t>Začasna montaža naprav proti potovanju tirnic 49E1 na lesenih pragih.</t>
  </si>
  <si>
    <t>Strojni izkop tirne grede, z nakladanjem na kamione in odvozom v deponijo na razdalji do 15 km.</t>
  </si>
  <si>
    <t>SV NAPRAVE</t>
  </si>
  <si>
    <t>D</t>
  </si>
  <si>
    <t>D.I.1</t>
  </si>
  <si>
    <t>D.I.2</t>
  </si>
  <si>
    <t>D.I.3</t>
  </si>
  <si>
    <t>D.I.4</t>
  </si>
  <si>
    <t>Kompletna  izvedba demontaže in odstranitve zunanjih in notranjih vrat, skupaj s podboji, z uporabo ustreznih delovnih odrov, z iznosi, prenosi in nalaganjem ruševin na prevozno sredstvo in odvoz na stalno deponijo. V ceni upoštevati plačilo komunalne deponije!</t>
  </si>
  <si>
    <t xml:space="preserve">Kompletna izvedba demontaže in odstranitve oken, skupaj z okvirji, notranjimi in zunanjimi okenskimi policami ter senčili, z uporabo ustreznih delovnih odrov, z iznosi, prenosi in nalaganjem ruševin na prevozno sredstvo in odvoz na stalno deponijo. V ceni upoštevati plačilo komunalne deponije! </t>
  </si>
  <si>
    <t>Odstranitev tlakov in odvoz na stalno deponijo.</t>
  </si>
  <si>
    <t>Rušitev zidanega opečnatega objekta z vsemi potrebnimi deli in prenosi ter odvozom materiala na stalno deponijo.</t>
  </si>
  <si>
    <t>KV – delavec</t>
  </si>
  <si>
    <t>NK – delavec</t>
  </si>
  <si>
    <t>kom</t>
  </si>
  <si>
    <t>Kompletna odstranitev strehe objekta opečna kritina, leseno ostrešje in žlebovi, izvedba s transportom ruševin do deponije na gradbišču, kjer se kopiči material od rušenja, za sprotni odvoz v obrat za reciklažo. Obračun v m2 vključno z odvozom v obrat za reciklažo (do 25 km). V ceni je zajeti tudi vse potrebno podpiranje v času izvedbe rušitvenih del.</t>
  </si>
  <si>
    <t>Odstranitev betonskih delov in temeljne plošče z vsemi potrebnimi deli in prenosi ter odvozom materiala na stalno deponijo.</t>
  </si>
  <si>
    <t>D.II.1</t>
  </si>
  <si>
    <t>D.II.2</t>
  </si>
  <si>
    <t>D.II.3</t>
  </si>
  <si>
    <t>D.II.4</t>
  </si>
  <si>
    <t>D.II.5</t>
  </si>
  <si>
    <t>ZEMELJSKA DELA</t>
  </si>
  <si>
    <t>Strojni površinski odriv ali odkop terena okrog stavbe, I. in II. kategorije (humusa) v celotni debelini ≤ 20 cm, s transportom na začasno deponijo gradbišča na gradbeni parceli v oddaljenost do 15 m. Humus se hrani na deponiji zaradi kasnejše uporabe pri zunanji ureditvi.</t>
  </si>
  <si>
    <t>Strojni široki izkop zemljine okrog stavbe, v terenu III.  in IV. kategoriji,  s transportom na začasno deponijo gradbišča na gradbeni parceli v oddaljenost do 25 km. Zemlja se hrani na deponiji zaradi kasnejše uporabe pri zunanji ureditvi. Količine za zemeljska dela so ocenjene na podlagi ogleda na terenu. Izkop obračunava na podlagi profilov posnetih, pred pričetkom del in po končanem delu.</t>
  </si>
  <si>
    <t>Ročni odkop morebitnih instalacij v terenu III. in IV. kategorije na lokaciji objekta z odmetom na rob izkopa (količina ocenjena).</t>
  </si>
  <si>
    <t>D.II.6</t>
  </si>
  <si>
    <t>D.II.7</t>
  </si>
  <si>
    <t>Planiranje dna izkopa  z minimalnim izmetom ali dosipom ter premetom odvečnega materiala.</t>
  </si>
  <si>
    <t>Strojno utrjevanje dna izkopa  z vibracijsko ploščo ali vibrovaljarjem.</t>
  </si>
  <si>
    <t>Nabava, dobava in polaganje geotekstil na uvaljan in utrjen planum, pred začetkom nasipavanja, vključno s potrebnimi preklopi 10%</t>
  </si>
  <si>
    <t>Nabava, dobava in vgrajevanje tamponskega materiala kot nasutje pod temelji in temeljno ploščo, z razgrinjanjem, planiranjem in utrjevanjem v plasteh do predpisane zbitosti. Obračun po m3 tampona v utrjenem stanju</t>
  </si>
  <si>
    <t>Zunanja ureditev terena.</t>
  </si>
  <si>
    <t>Odvoz izkopanega materiala na stalno deponijo oddaljeno do 15 km, nakladanje je zajeto skupaj z izkopom. V postavki mora biti zajeto tudi plačilo komunalnega prispevka za stalno deponijo.</t>
  </si>
  <si>
    <t>Razna gradbena pomoč v delu pri rušitvenih delih ter razna nepredvidena in dodatna dela. Obračun izvršiti na podlagi efektivnih ur po predhodnem vpisu nadzornega organa v gradbeni dnevnik, ocena števila ur.</t>
  </si>
  <si>
    <t>E</t>
  </si>
  <si>
    <t>E.I.1</t>
  </si>
  <si>
    <t>E.I.2</t>
  </si>
  <si>
    <t>E.I.3</t>
  </si>
  <si>
    <t>E.I.4</t>
  </si>
  <si>
    <t>E.II.1</t>
  </si>
  <si>
    <t>E.II.2</t>
  </si>
  <si>
    <t>E.II.3</t>
  </si>
  <si>
    <t xml:space="preserve">OBRTNIŠKA DELA </t>
  </si>
  <si>
    <t xml:space="preserve">REVITALIZACIJA SKLADIŠČA </t>
  </si>
  <si>
    <t xml:space="preserve">IZGRADNJ DELA TIRA 1 </t>
  </si>
  <si>
    <t xml:space="preserve">IZGRADNJA DELA TIRA 1 </t>
  </si>
  <si>
    <t>RUŠITEV OBJEKTA IN UREDITEV TERENA</t>
  </si>
  <si>
    <t>REVITALIZACIJA OBJEKTA</t>
  </si>
  <si>
    <t>Čiščenje v notranjosti objekta (razni materiali, … )</t>
  </si>
  <si>
    <t>D.III</t>
  </si>
  <si>
    <t>D.III.1</t>
  </si>
  <si>
    <t>D.III.2</t>
  </si>
  <si>
    <t>D.III.3</t>
  </si>
  <si>
    <t>D.III.4</t>
  </si>
  <si>
    <t>D.IV</t>
  </si>
  <si>
    <t>D.IV.1</t>
  </si>
  <si>
    <t>D.IV.2</t>
  </si>
  <si>
    <t>D.V</t>
  </si>
  <si>
    <t>D.V.1</t>
  </si>
  <si>
    <t>D.V.2</t>
  </si>
  <si>
    <t>Nabava, dobava in polaganje geotekstil na uvaljan in utrjen planum, pred začetkom nasipavanja, vključno s potrebnimi preklopi 10%.</t>
  </si>
  <si>
    <t>E.I.5</t>
  </si>
  <si>
    <t>E.I.6</t>
  </si>
  <si>
    <t>E.I.7</t>
  </si>
  <si>
    <t>E.II.4</t>
  </si>
  <si>
    <t>E.II.5</t>
  </si>
  <si>
    <t>E.II.6</t>
  </si>
  <si>
    <t>E.II.7</t>
  </si>
  <si>
    <t>E.II.8</t>
  </si>
  <si>
    <t>E.II.9</t>
  </si>
  <si>
    <t>G</t>
  </si>
  <si>
    <t>G.I</t>
  </si>
  <si>
    <t xml:space="preserve">UREDITEV ČAKALNICE </t>
  </si>
  <si>
    <t>G.I.1</t>
  </si>
  <si>
    <t>G.I.2</t>
  </si>
  <si>
    <t>Odstranitev stenskih oblog po celotni čakalnici.</t>
  </si>
  <si>
    <t>Demontaža in odstranitev kompletne opreme čakalnice, vključno odvoz na deponijo.</t>
  </si>
  <si>
    <t>Odstranitev rdeče-bele vinilne talne obloge na delu v čakalnici z vhodom proti tirom</t>
  </si>
  <si>
    <t>Demontaža okna za prodajo kart, vključno odvoz na deponijo.</t>
  </si>
  <si>
    <t>Zazidava okenske odprtine (okna za prodajo kart). Vrsto opeke je potrebno prilagoditi obstoječemu stanju.</t>
  </si>
  <si>
    <t>ZIDARSKA DELA</t>
  </si>
  <si>
    <t>Dvakratno glajenje celotnih površin sten in stropov z disperzijskim kitotom ter oplesk z disperzijsko barvo v tonu po izbiri investitorja s predhodnim potrebnim brušenjem celotnih površin.</t>
  </si>
  <si>
    <t>Dobava in vgradnja IR panela, za vgradnjo na strop, apetost 230V, zaščita IP54, barva bela oziroma po izbiri invesitoraj, vključno z vsem potrebnim montažnim materialom in elektro materialom, kabliranje, možnost uporabe wi-fi regulatorja, vključno z wi fi regulatorjem, npr.kot: EKOSEN, tip ONE IDEAL (kot npr. SOPNEW600W)</t>
  </si>
  <si>
    <t>Izvedba in vgradnja novih tlakov po izbiri investitorja. Tlak iz nedrsnih R11, žlebljenih keramičnih ploščic dim. 30x30 cm deb. 10 mm v cementnem - akrilnem lepilu.</t>
  </si>
  <si>
    <t>UREDITEV OKOLICE</t>
  </si>
  <si>
    <t>Odstranitev betonskih delov vključno z temeljem betosnkega robnika med parkom in platojem pred železniško postajo potrebnimi deli in prenosi ter odvozom materiala na stalno deponijo.</t>
  </si>
  <si>
    <t>G.II</t>
  </si>
  <si>
    <t>G.III</t>
  </si>
  <si>
    <t>G.II.1</t>
  </si>
  <si>
    <t>G.III.1</t>
  </si>
  <si>
    <t>Strojni široki izkop zemljine okrog stavbe vodnega stopla in skladišča ter na območju platoja med postjano stavbo in skladiščem, v terenu III.  in IV. kategoriji,  s transportom na začasno deponijo gradbišča na gradbeni parceli v oddaljenost do 25 km. Zemlja se hrani na deponiji zaradi kasnejše uporabe pri zunanji ureditvi. Količine za zemeljska dela so ocenjene na podlagi ogleda na terenu. Izkop obračunava na podlagi profilov posnetih, pred pričetkom del in po končanem delu.</t>
  </si>
  <si>
    <t>Strojni površinski odriv ali odkop terena okrog stavbe vodnega stopla in skladišča ter na območju platoja med postjano stavbo in skladiščem, I. in II. kategorije (humusa) v celotni debelini ≤ 20 cm, s transportom na začasno deponijo gradbišča na gradbeni parceli v oddaljenost do 15 m. Humus se hrani na deponiji zaradi kasnejše uporabe pri zunanji ureditvi.</t>
  </si>
  <si>
    <t>G.II.2</t>
  </si>
  <si>
    <t>G.II.3</t>
  </si>
  <si>
    <t>G.II.4</t>
  </si>
  <si>
    <t>G.II.5</t>
  </si>
  <si>
    <t>G.IV</t>
  </si>
  <si>
    <t>G.IV.1</t>
  </si>
  <si>
    <t>G.V</t>
  </si>
  <si>
    <t>G.V.1</t>
  </si>
  <si>
    <t>G.V.2</t>
  </si>
  <si>
    <t>G.V.3</t>
  </si>
  <si>
    <t>Izvedba betosnkega zidu (parapeta) širine 30 cm in višine 50 cm vključno s temeljem. Dobava in vgradnja armature (betonskega jekla - B St 500 S) z dobavo in vgraditvijo. Dobava in vgrajevanje betona C25/30, XC2 v armirano betonske temelje in steno zidu.</t>
  </si>
  <si>
    <t>Doaba in vgradnja lesenih palic za izvedbo sedišč na novem betosnkem zidu (parapetu).</t>
  </si>
  <si>
    <t>H</t>
  </si>
  <si>
    <t>H.I</t>
  </si>
  <si>
    <t>H.I.1</t>
  </si>
  <si>
    <t>H.II.1</t>
  </si>
  <si>
    <t>H.I.2</t>
  </si>
  <si>
    <t>H.II</t>
  </si>
  <si>
    <t>H.III</t>
  </si>
  <si>
    <t>H.III.1</t>
  </si>
  <si>
    <t>H.III.2</t>
  </si>
  <si>
    <t>H.III.3</t>
  </si>
  <si>
    <t>H.III.4</t>
  </si>
  <si>
    <t>H.III.5</t>
  </si>
  <si>
    <t>H.III.6</t>
  </si>
  <si>
    <t>H.III.7</t>
  </si>
  <si>
    <t>H.III.8</t>
  </si>
  <si>
    <t>H.IV</t>
  </si>
  <si>
    <t>H.IV.1</t>
  </si>
  <si>
    <t>H.V</t>
  </si>
  <si>
    <t>H.V.1</t>
  </si>
  <si>
    <t>H.V.2</t>
  </si>
  <si>
    <t>H.V.3</t>
  </si>
  <si>
    <t>H.V.4</t>
  </si>
  <si>
    <t>Dobava peščeno gramoznega materiala v tamponski sloj skupaj z razgrinjanjem, planiranjem in utrditvijo do predpisane komprimacije (Ms 60mn/m2); predvidene deb. 20cm pod tlakovci - pot okrog stavb</t>
  </si>
  <si>
    <t>H.III.9</t>
  </si>
  <si>
    <t>Dobava in vgrajevanje tamponskega drobljenca TD 0/36mm; kompletno z razgrinjanjem, planiranjem in utrjevanjem do predpisane komprimacije - debeline 20 cm; predvideno na območju platoja med parkom in tiri.</t>
  </si>
  <si>
    <t>Fino planiranje in utrjevanje površine tampona pred zaključnim slojem</t>
  </si>
  <si>
    <t>H.III.10</t>
  </si>
  <si>
    <t>Izdelava nosilne plasti bituminizirane zmesi AC 22 base B 50/70 A3  v deb.6cm</t>
  </si>
  <si>
    <t>Izdelava obrabne in zaporne plasti bituminizirane zmesi AC 8 surf B 70/100 A3 v deb. 3 cm</t>
  </si>
  <si>
    <t>H.V.5</t>
  </si>
  <si>
    <t>Izdelava, priprava in vgraditev ograje za pešce iz jeklenih okroglih profilov s horizontalnimi polnili, visoke 120 cm. Stojke so vgrajene v temelj iz bet.cevi Ø 30cm, viš. 60cm in zalite z betonom C25/30 z vsemi zemeljskimi deli. Kovinski deli so očiščeni in vroče cinkani. Ograja je dilatirana na 20m in ozemljena</t>
  </si>
  <si>
    <t>Tlak iz betonskih tlakovcev pravokotne oblike s predhodno napravo podlage iz peska 0,2-2mm na typar foliji; deb. 5 cm s finim planiranjem in utrditvijo. Tlakovci v naravni (npr. sivi) barvi, skladno z željo naročnika.</t>
  </si>
  <si>
    <t>RUŠITEV PERONA 1</t>
  </si>
  <si>
    <t>I</t>
  </si>
  <si>
    <t>I.I</t>
  </si>
  <si>
    <t>I.I.1</t>
  </si>
  <si>
    <t>I.I.2</t>
  </si>
  <si>
    <t>I.I.3</t>
  </si>
  <si>
    <t>I.I.4</t>
  </si>
  <si>
    <t>I.II</t>
  </si>
  <si>
    <t>I.II.1</t>
  </si>
  <si>
    <t>I.II.2</t>
  </si>
  <si>
    <t>I.II.3</t>
  </si>
  <si>
    <t>I.III</t>
  </si>
  <si>
    <t>I.III.1</t>
  </si>
  <si>
    <t>I.IV</t>
  </si>
  <si>
    <t>I.IV.1</t>
  </si>
  <si>
    <t>I.IV.2</t>
  </si>
  <si>
    <t>I.IV.3</t>
  </si>
  <si>
    <t>I.IV.4</t>
  </si>
  <si>
    <t>I.IV.5</t>
  </si>
  <si>
    <t xml:space="preserve">Izgradnja pogona kretnice št. 8 </t>
  </si>
  <si>
    <t>Izgradnja kontroliranega/ izoliranega odseka kretnice 8. Demontaža dve TPO in preureditve ožičenja TPO.</t>
  </si>
  <si>
    <t>Zakoličba posameznih komunalnih vodov, nadzor pri izvajanju gradbenih del na območju križanja in zaščita komunalnih vodov,  obračun po fakturi specializiranega izvajalca - ocena.</t>
  </si>
  <si>
    <t>Stroški upravljalca pri izvedbi gradbenih del  (nadzor) - ocena.</t>
  </si>
  <si>
    <t>Odvoz demontirane opreme na deponijo SVTK na postaji Pivka, vključno z vodenjem evidence in pripravo evidenčnih listov</t>
  </si>
  <si>
    <t>Izgradnja premikalnih signalov 8V in 8L, vključno s stemelji.</t>
  </si>
  <si>
    <t>Po demontaži SV opreme je izvedba prilagoditve SV naprav, vključno z testiranjem in preizkusi.</t>
  </si>
  <si>
    <t>UREDITEV ČAKALNICE</t>
  </si>
  <si>
    <t>RUŠITVENA/ODSTRANJEVALNA DELA</t>
  </si>
  <si>
    <t>UREDITEV OKOLICE IN POSTAJNEGA PLATOJA</t>
  </si>
  <si>
    <t>H.V.6</t>
  </si>
  <si>
    <t>Urditev okolice in zelenice ob densme krilu vodnega stopla (ob stanovanju).</t>
  </si>
  <si>
    <t xml:space="preserve">UREDITEV OKOLICE </t>
  </si>
  <si>
    <t>I.</t>
  </si>
  <si>
    <t>Pregled tal na območju odstranitve rdečo-bele talne vinilne podloge. Po potrebi brušenje talne podloge in izravnava tal z izravnalno maso.</t>
  </si>
  <si>
    <t>C.II.8</t>
  </si>
  <si>
    <t>C.I.5</t>
  </si>
  <si>
    <t>Odbijanje slabega ometa v debelini 20-30mm  ocena</t>
  </si>
  <si>
    <t>Pregled obstoječih stenskih ometov v notranjosti objekta, odbijanje poškodovanih ometov.</t>
  </si>
  <si>
    <t>Odstranitev tlakov in odvoz na stalno deponijo</t>
  </si>
  <si>
    <t>Dobava in izdelava tlakov v sestavi:
- ekspandirani polistiren debeline 4 cm, EPS 150 
- mikroarmirani cementni estrih C 16/20, debeline 5 cm, zaglajen kot finalni tlak, 
- protiprašni premaz npr. EPOKSI 
Površina kot podlaga za naknadno polaganje finalnega tlaka.</t>
  </si>
  <si>
    <t>C.III.5</t>
  </si>
  <si>
    <t>C.III.6</t>
  </si>
  <si>
    <t>C.IV.3</t>
  </si>
  <si>
    <t>C.V.5</t>
  </si>
  <si>
    <t>Demontaža starih lesenih notranjih vrat z odvozom v trajno deponijo, dobava in montaža novih enokrilnih notranjih lesenih vrat dimenzije 900x2000mm, barva uskladizti z naročnikom in upravljalcem. Mere kontrolirati na licu mesta.</t>
  </si>
  <si>
    <t>Kompletna odstranitev tira 49E1 na lesenih pragih, vključno s stroški za uničenje odpadnih lesenih pragov, z nakladanjem tirnic na vlak Silad, prage in d.t.m. na vagone ter odvozom deponiranega materiala do deponije Upravljalca na razdaljo do 150 km - 49E1. Izgradnja tira od stacionaže km 15+820 do kretnice št. 8 in od kretnice št. 8 do revizijske jame (tir št. 1b).</t>
  </si>
  <si>
    <t>LEVO KRILO VODNEGA STOLPA - SKLADIŠČE (k.o. 2524 Trnovo, št. parcele 3235, št. objekta 1193)</t>
  </si>
  <si>
    <t>DESNO KRILO VODNEGA STOLPA - STANOVANJE IN SKLADIŠČE (k.o. 2524 Trnovo, št. parcele 3235, št. objekta 1194)</t>
  </si>
  <si>
    <t>UREDITEV ČAKALNICE V POSTAJNEM POSLOPJU (k.o. 2524 Trnovo, št. parcele 3232, št. objekta 202)</t>
  </si>
  <si>
    <t>I.V</t>
  </si>
  <si>
    <t>I.V.1</t>
  </si>
  <si>
    <t>Varovanje delovišča s progovnim čuvajem</t>
  </si>
  <si>
    <t>VAROVANJE DELOVIŠČA</t>
  </si>
  <si>
    <t>Izdelava, dobava in montaža  talne zapore odprtine vodnjaka izdelana iz nosilnih kovinskih vroče cinkanih profilov pritrjeni v AB venec in pohodne pločevine, v segmentih, montirana na nosilne profile. Velikost elementov po shemi projektanta in delavniških načrtih izbranega izvajalca. Debelina pločevine cca 10 mm, finalno barvana. Zapora vodnjaka premera 320 cm</t>
  </si>
  <si>
    <t xml:space="preserve">Čiščenje vodnjaka premera 320 cm, globine cca 15 m (smeti, mešani material, eventuelno tudi čiščenje vode). Čiščenje lahko izvajajo ustrezno strokovno usposobljene osebe (jamarji, alpinisti). Točen obseg del se določi na licu mesta, z  upoštevanjem vseh  predpisov o Varstvu pri delu. </t>
  </si>
  <si>
    <t>B.I.10</t>
  </si>
  <si>
    <t>H.IV.2</t>
  </si>
  <si>
    <t>Izvedba platoja iz pranega betona ob vodnem stoplu in okorg pomožnega objekta (svinjaka).</t>
  </si>
  <si>
    <t>J</t>
  </si>
  <si>
    <t>J.I</t>
  </si>
  <si>
    <t>J.I.1</t>
  </si>
  <si>
    <t>J.I.2</t>
  </si>
  <si>
    <t>J.I.3</t>
  </si>
  <si>
    <t>J.I.4</t>
  </si>
  <si>
    <t>OSTALA DELA</t>
  </si>
  <si>
    <t xml:space="preserve"> OSTALA DELA</t>
  </si>
  <si>
    <t xml:space="preserve">Projektantski nadzor </t>
  </si>
  <si>
    <t>Sodelovanje varnostnega koordinatorja</t>
  </si>
  <si>
    <t>ur</t>
  </si>
  <si>
    <t xml:space="preserve">Izdelava projektne dokumentacije izvedenih del (PID) in izdelava tehnične dokumentacije (NOV) </t>
  </si>
  <si>
    <t>J.</t>
  </si>
  <si>
    <t>Eventuelna zamenjava lesenih špirovcev, dimenzij cca 16/20. Točen obseg del se  določi na licu mesta v  dogovoru in po navodilih statika. Ocena.</t>
  </si>
  <si>
    <t>Eventuelna zamenjava lesenih kapnih in slemenskih leg, dimenzij cca 20/20. Točen obseg del se  določi na licu mesta v  dogovoru in po navodilih statika. Ocena.</t>
  </si>
  <si>
    <t>komplet odstranitev perona 1, vključno z vsemi betonskimi elemtni, odvečnim nasipom perona in drugimi elementi (Signalna oznaka 204-mesto zaustavitve), ter odvozom na stalno deponijo.</t>
  </si>
  <si>
    <t>Izdelava, dobava in montaža stene oziroma plošče iz perforirane pločevine velikosti cca 340 x 225 cm (mere kontrilirati na licu mesta). Vzorec in velikosti perforiranih polj na ploščah določen po dogovoru s projektnantom in naročnikom. Vgradnja na območju obstoječih fiksnih oken in izvedene stene v nadstropju vodnega stopla.</t>
  </si>
  <si>
    <t>Prevoz, montaža, demontaža in amortizacija fasadnih odrov višine do 10 m, kompletno z izdelavo dostopov, zaščitnih ograj in zaščito s tkanino. Odri zahtevnejše izvedbe, del odra poteka nad nižjo dvokapno streho, katero je potrebno zaščititi za ves čas izvedbe del (poškodba kritine.... ).</t>
  </si>
  <si>
    <t>Stroški upravljalca (inženirske stroitve)</t>
  </si>
  <si>
    <t>Demontaža starega lesenega enokrilnega okna, dobava in montaža novega trokrilnega v leseni izvedbi barva zunaj belo, znotraj belo dim. 1800x1400,  zunanja polica v al izvedbi širine do 250mm, notranja polica širine do 300mm, steklo termopan 4/16/4, kljuka v beli barvi.  Mere kontrolirati na licu mesta.</t>
  </si>
  <si>
    <t>Demontaža starih kovisnkih vhodnih vrat v skladišče ob stanovanju, z odvozom v trajno deponijo, dobava in montaža novih enokrilnih v ALU izvedbi, dimenzije 1100x 2100mm,  izvedba enostavna, v sredini pokončno steklo v širini do 150mm rosa, nizek pohodni prag inox, barva mahagonij obojestransko. Mere kontrolirati na licu mesta.</t>
  </si>
  <si>
    <t>Izdelava, dobava in montaža vhodnih vrat velikosti 90/210 na pomožnem objektu, izdelanih iz masivnega smrekovega lesa, kompletno s kvalitetnim okovjem, tesnili in ključavnico. Izdelava po shemah projektatna. Mere kontrolirati na licu mesta.</t>
  </si>
  <si>
    <t>Izdelava, dobava in montaža oken velikosti cca 67 x 110 cm na pomožnem obljekut, izdelanih iz dolžinsko nespojenega macesnovega lesa (ali hrastovega) finalno lakiran. Zasteklitev s termopan steklom. Steklo brez efekta refleksa. Okna opremljena s kvalitetnim okovjem, tesnili in zaključki. Mere kontrolirati na licu mesta.</t>
  </si>
  <si>
    <t>Izdelava, dobava in montaža vrat velikosti 85/210 cm, izdelanih iz masivnega smrekovega lesa, kompletno s kvalitetnim okovjem, tesnili in ključavnico. Izdelava po shemah projektatna. Mere kontrolirati na licu mesta.</t>
  </si>
  <si>
    <t>Demontaža starega lesenega enokrilnega okna, dobava in montaža novega v leseni izvedbi barva zunaj belo, znotraj belo dim. 400x400 mm,  zunanja polica v al izvedbi širine do 250mm, notranja polica širine do 300mm, steklo termopan 4/16/4, kljuka v beli barvi.  Mere kontrolirati na licu mesta.</t>
  </si>
  <si>
    <t>Demontaža starih lesenih vhodnih vrat z odvozom v trajno deponijo, dobava in montaža novih enokrilnih v leseni izvedbi, dimenzije 1100x2300mm,  izvedba enostavna, v sredini pokončno steklo v širini do 150mm rosa, nizek pohodni prag inox, barva mahagonij obojestransko. Mere kontrolirati na licu mesta.</t>
  </si>
  <si>
    <t>Demontaža starega lesenega dvokrilnega okna, dobava in montaža novega dvokrilnega v leseni izvedbi barva zunaj belo, znotraj belo dim. 1250x1400 mm,  zunanja polica v al izvedbi širine do 250mm, notranja polica širine do 300mm, steklo termopan 4/16/4, kljuka v beli barvi.  Mere kontrolirati na licu mesta.</t>
  </si>
  <si>
    <t>Demontaža starega lesenega enokrilnega okna, dobava in montaža novega v leseni izvedbi barva zunaj belo, znotraj belo dim. 600x700 mm,  zunanja polica v al izvedbi širine do 250mm, notranja polica širine do 300mm, steklo termopan 4/16/4, kljuka v beli barvi.  Mere kontrolirati na licu mesta.</t>
  </si>
  <si>
    <t xml:space="preserve">Izdelava, dobava in montaža  vhodnih vrat v vodni stolp. Podboj kovinski, finalno pleskan po izboru projektanta. Krili kovinski z vmesno toplotno izolacijo in finalno pleskani po izboru projektanta. Vrata opremljena s kovinskim kovanim okovjem, kljuko, tesnili in ključavnico. Izdelava po shemah projektanta. Simetrična dvokrilna vrata skupne vel. 175/345 cm. Oznaka GV-1. Mere kontrolirati na licu mesta. </t>
  </si>
  <si>
    <t>Finalno čiščenje prostorov po zaključku del. Upoštevana 1 x neto površina. Čiščenje med gradnjo upoštevano v enotnih cenah GO del.</t>
  </si>
  <si>
    <t>B.II.7</t>
  </si>
  <si>
    <t>B.II.8</t>
  </si>
  <si>
    <t>Izdelava, priprava in vgraditev ograje visoke 100 cm. Ograja okrog vodnjaka premera 320 cm v notranjosti vodnega stopla. Ograja iz kovinskih nosilcev in steklenim polnilom. Točen izgled ograje določen na licu mesta z dogovorom z projektnatom in predstavnikom ZVKD.</t>
  </si>
  <si>
    <t>Nepredvidena dela 10%</t>
  </si>
  <si>
    <t>RUŠITEV OBJEKTA (k.o. 2524 Trnovo, št. parcele 3234, št. objekta 1191)</t>
  </si>
  <si>
    <t>SANACIJA VODNEGA STOLPA (št. parcele 3235, št. objekta 1192) in POMOŽNEGA OBJEKTA - HLEV/DRVARNICA (št. parcele 3236), oba objekta k.o. 2524 Trnovo</t>
  </si>
  <si>
    <t>BETONSKA DELA</t>
  </si>
  <si>
    <t>SANACIJA VODNEGA STOLPA (št. parcele 3235, št. objekta 1192) IN POMOŽNEGA OBJEKTA - HLEV/DRVARNICA (št. parcele 3236), oba objekta k.o. 2524 Trnovo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</si>
</sst>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_-;\-* #,##0.00_-;_-* &quot;-&quot;??_-;_-@_-"/>
    <numFmt numFmtId="164" formatCode="_-* #,##0.00\ _S_I_T_-;\-* #,##0.00\ _S_I_T_-;_-* &quot;-&quot;??\ _S_I_T_-;_-@_-"/>
    <numFmt numFmtId="165" formatCode="#,##0.00\ &quot;€&quot;"/>
    <numFmt numFmtId="166" formatCode="#,##0.00\ [$EUR]"/>
    <numFmt numFmtId="167" formatCode="_-* #,##0.00\ _€_-;\-* #,##0.00\ _€_-;_-* &quot;-&quot;??\ _€_-;_-@_-"/>
    <numFmt numFmtId="168" formatCode="_(&quot;$&quot;* #,##0.00_);_(&quot;$&quot;* \(#,##0.00\);_(&quot;$&quot;* &quot;-&quot;??_);_(@_)"/>
  </numFmts>
  <fonts count="21">
    <font>
      <sz val="11"/>
      <color theme="1"/>
      <name val="Calibri"/>
      <family val="2"/>
      <charset val="238"/>
      <scheme val="minor"/>
    </font>
    <font>
      <sz val="11"/>
      <color theme="1"/>
      <name val="Calibri"/>
      <family val="2"/>
      <charset val="238"/>
      <scheme val="minor"/>
    </font>
    <font>
      <sz val="10"/>
      <name val="Arial"/>
      <family val="2"/>
      <charset val="238"/>
    </font>
    <font>
      <sz val="11"/>
      <color theme="1"/>
      <name val="Rubik Light"/>
      <charset val="238"/>
    </font>
    <font>
      <sz val="10"/>
      <color theme="1"/>
      <name val="Calibri"/>
      <family val="2"/>
      <charset val="238"/>
      <scheme val="minor"/>
    </font>
    <font>
      <sz val="10"/>
      <name val="MS Sans Serif"/>
      <charset val="238"/>
    </font>
    <font>
      <sz val="11"/>
      <color theme="1"/>
      <name val="Calibri"/>
      <family val="2"/>
      <scheme val="minor"/>
    </font>
    <font>
      <sz val="10"/>
      <name val="Arial"/>
      <family val="2"/>
    </font>
    <font>
      <sz val="12"/>
      <name val="Courier"/>
      <family val="1"/>
      <charset val="238"/>
    </font>
    <font>
      <sz val="18"/>
      <name val="Courier"/>
      <family val="1"/>
      <charset val="238"/>
    </font>
    <font>
      <b/>
      <sz val="14"/>
      <color theme="1"/>
      <name val="Calibri"/>
      <family val="2"/>
      <charset val="238"/>
      <scheme val="minor"/>
    </font>
    <font>
      <sz val="10"/>
      <name val="Calibri"/>
      <family val="2"/>
      <charset val="238"/>
      <scheme val="minor"/>
    </font>
    <font>
      <b/>
      <sz val="10"/>
      <name val="Calibri"/>
      <family val="2"/>
      <charset val="238"/>
      <scheme val="minor"/>
    </font>
    <font>
      <sz val="12"/>
      <color theme="1"/>
      <name val="Calibri"/>
      <family val="2"/>
      <charset val="238"/>
      <scheme val="minor"/>
    </font>
    <font>
      <sz val="12"/>
      <name val="Calibri"/>
      <family val="2"/>
      <charset val="238"/>
      <scheme val="minor"/>
    </font>
    <font>
      <b/>
      <sz val="12"/>
      <name val="Calibri"/>
      <family val="2"/>
      <charset val="238"/>
      <scheme val="minor"/>
    </font>
    <font>
      <b/>
      <sz val="16"/>
      <color theme="1"/>
      <name val="Calibri"/>
      <family val="2"/>
      <charset val="238"/>
      <scheme val="minor"/>
    </font>
    <font>
      <sz val="8"/>
      <name val="Calibri"/>
      <family val="2"/>
      <charset val="238"/>
      <scheme val="minor"/>
    </font>
    <font>
      <b/>
      <sz val="10"/>
      <color theme="1"/>
      <name val="Calibri"/>
      <family val="2"/>
      <charset val="238"/>
      <scheme val="minor"/>
    </font>
    <font>
      <b/>
      <sz val="12"/>
      <color theme="1"/>
      <name val="Calibri"/>
      <family val="2"/>
      <charset val="238"/>
      <scheme val="minor"/>
    </font>
    <font>
      <sz val="10"/>
      <name val="Arial Narrow"/>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29">
    <xf numFmtId="0" fontId="0" fillId="0" borderId="0"/>
    <xf numFmtId="0" fontId="2" fillId="0" borderId="0"/>
    <xf numFmtId="164" fontId="2" fillId="0" borderId="0" applyFont="0" applyFill="0" applyBorder="0" applyAlignment="0" applyProtection="0"/>
    <xf numFmtId="0" fontId="2" fillId="0" borderId="0"/>
    <xf numFmtId="44" fontId="1" fillId="0" borderId="0" applyFont="0" applyFill="0" applyBorder="0" applyAlignment="0" applyProtection="0"/>
    <xf numFmtId="0" fontId="5" fillId="0" borderId="0"/>
    <xf numFmtId="167" fontId="5" fillId="0" borderId="0" applyFont="0" applyFill="0" applyBorder="0" applyAlignment="0" applyProtection="0"/>
    <xf numFmtId="0" fontId="6" fillId="0" borderId="0"/>
    <xf numFmtId="43" fontId="6"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167" fontId="1"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1" fillId="0" borderId="0"/>
    <xf numFmtId="168" fontId="2" fillId="0" borderId="0" applyFont="0" applyFill="0" applyBorder="0" applyAlignment="0" applyProtection="0"/>
    <xf numFmtId="39" fontId="8" fillId="0" borderId="0"/>
    <xf numFmtId="39" fontId="8" fillId="0" borderId="0"/>
    <xf numFmtId="0" fontId="7" fillId="0" borderId="0"/>
    <xf numFmtId="39" fontId="8" fillId="0" borderId="0"/>
    <xf numFmtId="39" fontId="8" fillId="0" borderId="0"/>
    <xf numFmtId="39" fontId="8" fillId="0" borderId="0"/>
    <xf numFmtId="39" fontId="9" fillId="0" borderId="0"/>
    <xf numFmtId="9" fontId="6" fillId="0" borderId="0" applyFont="0" applyFill="0" applyBorder="0" applyAlignment="0" applyProtection="0"/>
  </cellStyleXfs>
  <cellXfs count="172">
    <xf numFmtId="0" fontId="0" fillId="0" borderId="0" xfId="0"/>
    <xf numFmtId="0" fontId="3" fillId="0" borderId="0" xfId="0" applyFont="1"/>
    <xf numFmtId="0" fontId="4" fillId="0" borderId="0" xfId="0" applyFont="1"/>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4" fillId="0" borderId="0" xfId="0" applyFont="1" applyAlignment="1">
      <alignment horizontal="left"/>
    </xf>
    <xf numFmtId="49" fontId="11" fillId="0" borderId="5" xfId="1" applyNumberFormat="1" applyFont="1" applyBorder="1" applyAlignment="1">
      <alignment horizontal="right" vertical="top"/>
    </xf>
    <xf numFmtId="0" fontId="12" fillId="0" borderId="0" xfId="1" applyFont="1" applyAlignment="1">
      <alignment horizontal="left" vertical="top"/>
    </xf>
    <xf numFmtId="0" fontId="11" fillId="0" borderId="0" xfId="1" applyFont="1" applyAlignment="1">
      <alignment horizontal="left" vertical="top" wrapText="1"/>
    </xf>
    <xf numFmtId="0" fontId="11" fillId="0" borderId="6" xfId="1" applyFont="1" applyBorder="1" applyAlignment="1">
      <alignment horizontal="left" vertical="top" wrapText="1"/>
    </xf>
    <xf numFmtId="0" fontId="0" fillId="0" borderId="5" xfId="0" applyBorder="1"/>
    <xf numFmtId="0" fontId="0" fillId="0" borderId="6" xfId="0" applyBorder="1"/>
    <xf numFmtId="0" fontId="12" fillId="0" borderId="0" xfId="0" applyFont="1" applyAlignment="1">
      <alignment vertical="top"/>
    </xf>
    <xf numFmtId="0" fontId="11" fillId="0" borderId="0" xfId="0" applyFont="1" applyAlignment="1">
      <alignment vertical="top" wrapText="1"/>
    </xf>
    <xf numFmtId="165" fontId="11" fillId="0" borderId="0" xfId="0" applyNumberFormat="1" applyFont="1" applyAlignment="1">
      <alignment vertical="top" wrapText="1"/>
    </xf>
    <xf numFmtId="49" fontId="4" fillId="0" borderId="5" xfId="0" applyNumberFormat="1" applyFont="1" applyBorder="1" applyAlignment="1">
      <alignment horizontal="right" vertical="top"/>
    </xf>
    <xf numFmtId="49" fontId="11" fillId="0" borderId="0" xfId="0" applyNumberFormat="1" applyFont="1" applyAlignment="1">
      <alignment vertical="top"/>
    </xf>
    <xf numFmtId="0" fontId="4" fillId="0" borderId="6" xfId="0" applyFont="1" applyBorder="1"/>
    <xf numFmtId="0" fontId="11" fillId="0" borderId="0" xfId="0" applyFont="1" applyAlignment="1">
      <alignment vertical="top"/>
    </xf>
    <xf numFmtId="0" fontId="4" fillId="0" borderId="7" xfId="0" applyFont="1" applyBorder="1"/>
    <xf numFmtId="0" fontId="4" fillId="0" borderId="1" xfId="0" applyFont="1" applyBorder="1"/>
    <xf numFmtId="0" fontId="4" fillId="0" borderId="8" xfId="0" applyFont="1" applyBorder="1"/>
    <xf numFmtId="0" fontId="13" fillId="0" borderId="21" xfId="0" applyFont="1" applyBorder="1"/>
    <xf numFmtId="0" fontId="13" fillId="0" borderId="22" xfId="0" applyFont="1" applyBorder="1"/>
    <xf numFmtId="0" fontId="13" fillId="0" borderId="0" xfId="0" applyFont="1"/>
    <xf numFmtId="0" fontId="13" fillId="0" borderId="24" xfId="0" applyFont="1" applyBorder="1"/>
    <xf numFmtId="49" fontId="13" fillId="2" borderId="25" xfId="0" applyNumberFormat="1" applyFont="1" applyFill="1" applyBorder="1" applyAlignment="1">
      <alignment vertical="center"/>
    </xf>
    <xf numFmtId="0" fontId="13" fillId="2" borderId="10" xfId="0" applyFont="1" applyFill="1" applyBorder="1" applyAlignment="1">
      <alignment vertical="center"/>
    </xf>
    <xf numFmtId="0" fontId="13" fillId="2" borderId="11" xfId="0" applyFont="1" applyFill="1" applyBorder="1" applyAlignment="1">
      <alignment vertical="center"/>
    </xf>
    <xf numFmtId="166" fontId="13" fillId="2" borderId="12" xfId="4" applyNumberFormat="1" applyFont="1" applyFill="1" applyBorder="1" applyAlignment="1">
      <alignment vertical="center" shrinkToFit="1"/>
    </xf>
    <xf numFmtId="0" fontId="13" fillId="0" borderId="23" xfId="0" applyFont="1" applyBorder="1"/>
    <xf numFmtId="166" fontId="13" fillId="0" borderId="24" xfId="0" applyNumberFormat="1" applyFont="1" applyBorder="1" applyAlignment="1">
      <alignment shrinkToFit="1"/>
    </xf>
    <xf numFmtId="0" fontId="13" fillId="3" borderId="13" xfId="0" applyFont="1" applyFill="1" applyBorder="1" applyAlignment="1">
      <alignment vertical="center"/>
    </xf>
    <xf numFmtId="0" fontId="15" fillId="3" borderId="14" xfId="0" applyFont="1" applyFill="1" applyBorder="1" applyAlignment="1">
      <alignment vertical="center"/>
    </xf>
    <xf numFmtId="166" fontId="15" fillId="3" borderId="15" xfId="0" applyNumberFormat="1" applyFont="1" applyFill="1" applyBorder="1" applyAlignment="1">
      <alignment horizontal="right" vertical="center" shrinkToFit="1"/>
    </xf>
    <xf numFmtId="0" fontId="13" fillId="3" borderId="16" xfId="0" applyFont="1" applyFill="1" applyBorder="1" applyAlignment="1">
      <alignment vertical="center"/>
    </xf>
    <xf numFmtId="0" fontId="15" fillId="3" borderId="9" xfId="0" applyFont="1" applyFill="1" applyBorder="1" applyAlignment="1">
      <alignment vertical="center"/>
    </xf>
    <xf numFmtId="166" fontId="15" fillId="3" borderId="17" xfId="0" applyNumberFormat="1" applyFont="1" applyFill="1" applyBorder="1" applyAlignment="1">
      <alignment horizontal="right" vertical="center" shrinkToFit="1"/>
    </xf>
    <xf numFmtId="0" fontId="13" fillId="3" borderId="18" xfId="0" applyFont="1" applyFill="1" applyBorder="1" applyAlignment="1">
      <alignment vertical="center"/>
    </xf>
    <xf numFmtId="0" fontId="15" fillId="3" borderId="19" xfId="0" applyFont="1" applyFill="1" applyBorder="1" applyAlignment="1">
      <alignment vertical="center"/>
    </xf>
    <xf numFmtId="166" fontId="15" fillId="3" borderId="20" xfId="0" applyNumberFormat="1" applyFont="1" applyFill="1" applyBorder="1" applyAlignment="1">
      <alignment horizontal="right" vertical="center" shrinkToFit="1"/>
    </xf>
    <xf numFmtId="0" fontId="4" fillId="0" borderId="0" xfId="0" applyFont="1" applyAlignment="1">
      <alignment horizontal="center"/>
    </xf>
    <xf numFmtId="0" fontId="4" fillId="0" borderId="6" xfId="0" applyFont="1" applyBorder="1" applyAlignment="1">
      <alignment horizontal="center"/>
    </xf>
    <xf numFmtId="0" fontId="0" fillId="0" borderId="0" xfId="0" applyAlignment="1">
      <alignment wrapText="1"/>
    </xf>
    <xf numFmtId="0" fontId="12" fillId="4" borderId="9" xfId="9" applyFont="1" applyFill="1" applyBorder="1" applyAlignment="1">
      <alignment horizontal="left" vertical="top" wrapText="1"/>
    </xf>
    <xf numFmtId="4" fontId="4" fillId="4" borderId="9" xfId="0" applyNumberFormat="1" applyFont="1" applyFill="1" applyBorder="1" applyAlignment="1">
      <alignment horizontal="center" vertical="top"/>
    </xf>
    <xf numFmtId="4" fontId="11" fillId="4" borderId="9" xfId="9" applyNumberFormat="1" applyFont="1" applyFill="1" applyBorder="1" applyAlignment="1">
      <alignment horizontal="right" vertical="top"/>
    </xf>
    <xf numFmtId="4" fontId="11" fillId="4" borderId="29" xfId="9" applyNumberFormat="1" applyFont="1" applyFill="1" applyBorder="1" applyAlignment="1">
      <alignment horizontal="right" vertical="top"/>
    </xf>
    <xf numFmtId="4" fontId="12" fillId="4" borderId="9" xfId="9" applyNumberFormat="1" applyFont="1" applyFill="1" applyBorder="1" applyAlignment="1">
      <alignment horizontal="center" vertical="top"/>
    </xf>
    <xf numFmtId="0" fontId="12" fillId="3" borderId="9" xfId="0" applyFont="1" applyFill="1" applyBorder="1" applyAlignment="1">
      <alignment horizontal="left" vertical="top" wrapText="1"/>
    </xf>
    <xf numFmtId="4" fontId="4" fillId="3" borderId="9" xfId="0" applyNumberFormat="1" applyFont="1" applyFill="1" applyBorder="1" applyAlignment="1">
      <alignment horizontal="center" vertical="top"/>
    </xf>
    <xf numFmtId="4" fontId="12" fillId="3" borderId="9" xfId="0" applyNumberFormat="1" applyFont="1" applyFill="1" applyBorder="1" applyAlignment="1">
      <alignment horizontal="right" vertical="top"/>
    </xf>
    <xf numFmtId="4" fontId="12" fillId="3" borderId="29" xfId="14" applyNumberFormat="1" applyFont="1" applyFill="1" applyBorder="1" applyAlignment="1" applyProtection="1">
      <alignment horizontal="right" vertical="top" wrapText="1"/>
    </xf>
    <xf numFmtId="4" fontId="12" fillId="3" borderId="9" xfId="0" applyNumberFormat="1" applyFont="1" applyFill="1" applyBorder="1" applyAlignment="1">
      <alignment horizontal="center" vertical="top" wrapText="1"/>
    </xf>
    <xf numFmtId="0" fontId="11" fillId="0" borderId="9" xfId="0" applyFont="1" applyBorder="1" applyAlignment="1">
      <alignment horizontal="left" vertical="top" wrapText="1"/>
    </xf>
    <xf numFmtId="4" fontId="11" fillId="0" borderId="9" xfId="0" applyNumberFormat="1" applyFont="1" applyBorder="1" applyAlignment="1">
      <alignment horizontal="center" vertical="top" wrapText="1"/>
    </xf>
    <xf numFmtId="4" fontId="11" fillId="0" borderId="9" xfId="14" applyNumberFormat="1" applyFont="1" applyBorder="1" applyAlignment="1">
      <alignment horizontal="right" vertical="top" wrapText="1"/>
    </xf>
    <xf numFmtId="4" fontId="11" fillId="5" borderId="29" xfId="14" applyNumberFormat="1" applyFont="1" applyFill="1" applyBorder="1" applyAlignment="1" applyProtection="1">
      <alignment horizontal="right" vertical="top" wrapText="1"/>
      <protection locked="0"/>
    </xf>
    <xf numFmtId="4" fontId="11" fillId="0" borderId="9" xfId="14" applyNumberFormat="1" applyFont="1" applyFill="1" applyBorder="1" applyAlignment="1">
      <alignment horizontal="right" vertical="top" wrapText="1"/>
    </xf>
    <xf numFmtId="4" fontId="11" fillId="0" borderId="9" xfId="0" applyNumberFormat="1" applyFont="1" applyBorder="1" applyAlignment="1">
      <alignment horizontal="center" vertical="top"/>
    </xf>
    <xf numFmtId="0" fontId="4" fillId="0" borderId="9" xfId="0" applyFont="1" applyBorder="1" applyAlignment="1">
      <alignment horizontal="left" vertical="top" wrapText="1"/>
    </xf>
    <xf numFmtId="4" fontId="11" fillId="0" borderId="9" xfId="2" applyNumberFormat="1" applyFont="1" applyFill="1" applyBorder="1" applyAlignment="1">
      <alignment horizontal="right" vertical="top" wrapText="1"/>
    </xf>
    <xf numFmtId="4" fontId="4" fillId="0" borderId="9" xfId="0" applyNumberFormat="1" applyFont="1" applyBorder="1" applyAlignment="1">
      <alignment horizontal="center" vertical="top"/>
    </xf>
    <xf numFmtId="4" fontId="4" fillId="0" borderId="9" xfId="14" applyNumberFormat="1" applyFont="1" applyBorder="1" applyAlignment="1">
      <alignment horizontal="right" vertical="top"/>
    </xf>
    <xf numFmtId="4" fontId="4" fillId="5" borderId="29" xfId="14" applyNumberFormat="1" applyFont="1" applyFill="1" applyBorder="1" applyAlignment="1" applyProtection="1">
      <alignment horizontal="right" vertical="top"/>
      <protection locked="0"/>
    </xf>
    <xf numFmtId="4" fontId="4" fillId="0" borderId="9" xfId="14" applyNumberFormat="1" applyFont="1" applyFill="1" applyBorder="1" applyAlignment="1">
      <alignment horizontal="right" vertical="top"/>
    </xf>
    <xf numFmtId="4" fontId="4" fillId="7" borderId="29" xfId="14" applyNumberFormat="1" applyFont="1" applyFill="1" applyBorder="1" applyAlignment="1" applyProtection="1">
      <alignment horizontal="right" vertical="top"/>
      <protection locked="0"/>
    </xf>
    <xf numFmtId="49" fontId="11" fillId="4" borderId="9" xfId="9" applyNumberFormat="1" applyFont="1" applyFill="1" applyBorder="1" applyAlignment="1">
      <alignment horizontal="right" vertical="top" wrapText="1"/>
    </xf>
    <xf numFmtId="49" fontId="11" fillId="3" borderId="9" xfId="0" applyNumberFormat="1" applyFont="1" applyFill="1" applyBorder="1" applyAlignment="1">
      <alignment horizontal="right" vertical="top" wrapText="1"/>
    </xf>
    <xf numFmtId="49" fontId="4" fillId="0" borderId="9" xfId="0" applyNumberFormat="1" applyFont="1" applyBorder="1" applyAlignment="1">
      <alignment horizontal="right" vertical="top" wrapText="1"/>
    </xf>
    <xf numFmtId="4" fontId="11" fillId="8" borderId="29" xfId="14" applyNumberFormat="1" applyFont="1" applyFill="1" applyBorder="1" applyAlignment="1" applyProtection="1">
      <alignment horizontal="right" vertical="top" wrapText="1"/>
      <protection locked="0"/>
    </xf>
    <xf numFmtId="4" fontId="4" fillId="0" borderId="29" xfId="0" applyNumberFormat="1" applyFont="1" applyBorder="1" applyAlignment="1" applyProtection="1">
      <alignment horizontal="right" vertical="top" wrapText="1"/>
      <protection locked="0"/>
    </xf>
    <xf numFmtId="0" fontId="4" fillId="9" borderId="9" xfId="0" applyFont="1" applyFill="1" applyBorder="1" applyAlignment="1">
      <alignment horizontal="left" vertical="top" wrapText="1"/>
    </xf>
    <xf numFmtId="0" fontId="14" fillId="3" borderId="1" xfId="0" applyFont="1" applyFill="1" applyBorder="1" applyAlignment="1">
      <alignment vertical="center"/>
    </xf>
    <xf numFmtId="49" fontId="13" fillId="2" borderId="16" xfId="0" applyNumberFormat="1" applyFont="1" applyFill="1" applyBorder="1" applyAlignment="1">
      <alignment vertical="center"/>
    </xf>
    <xf numFmtId="0" fontId="14" fillId="2" borderId="9" xfId="0" applyFont="1" applyFill="1" applyBorder="1" applyAlignment="1">
      <alignment vertical="center"/>
    </xf>
    <xf numFmtId="49" fontId="19" fillId="3" borderId="13" xfId="0" applyNumberFormat="1" applyFont="1" applyFill="1" applyBorder="1" applyAlignment="1">
      <alignment vertical="center"/>
    </xf>
    <xf numFmtId="166" fontId="15" fillId="3" borderId="15" xfId="0" applyNumberFormat="1" applyFont="1" applyFill="1" applyBorder="1" applyAlignment="1">
      <alignment vertical="center" shrinkToFit="1"/>
    </xf>
    <xf numFmtId="49" fontId="19" fillId="3" borderId="16" xfId="0" applyNumberFormat="1" applyFont="1" applyFill="1" applyBorder="1" applyAlignment="1">
      <alignment vertical="center"/>
    </xf>
    <xf numFmtId="166" fontId="15" fillId="3" borderId="17" xfId="0" applyNumberFormat="1" applyFont="1" applyFill="1" applyBorder="1" applyAlignment="1">
      <alignment vertical="center" shrinkToFit="1"/>
    </xf>
    <xf numFmtId="166" fontId="14" fillId="2" borderId="17" xfId="0" applyNumberFormat="1" applyFont="1" applyFill="1" applyBorder="1" applyAlignment="1">
      <alignment horizontal="left" vertical="center" shrinkToFit="1"/>
    </xf>
    <xf numFmtId="49" fontId="4" fillId="0" borderId="3" xfId="0" applyNumberFormat="1" applyFont="1" applyBorder="1" applyAlignment="1">
      <alignment horizontal="right" vertical="top" wrapText="1"/>
    </xf>
    <xf numFmtId="0" fontId="4" fillId="0" borderId="3" xfId="0" applyFont="1" applyBorder="1" applyAlignment="1">
      <alignment horizontal="left" vertical="top" wrapText="1"/>
    </xf>
    <xf numFmtId="4" fontId="11" fillId="0" borderId="3" xfId="0" applyNumberFormat="1" applyFont="1" applyBorder="1" applyAlignment="1">
      <alignment horizontal="center" vertical="top" wrapText="1"/>
    </xf>
    <xf numFmtId="4" fontId="4" fillId="0" borderId="3" xfId="14" applyNumberFormat="1" applyFont="1" applyBorder="1" applyAlignment="1">
      <alignment horizontal="right" vertical="top"/>
    </xf>
    <xf numFmtId="4" fontId="4" fillId="5" borderId="37" xfId="14" applyNumberFormat="1" applyFont="1" applyFill="1" applyBorder="1" applyAlignment="1" applyProtection="1">
      <alignment horizontal="right" vertical="top"/>
      <protection locked="0"/>
    </xf>
    <xf numFmtId="4" fontId="4" fillId="0" borderId="3" xfId="14" applyNumberFormat="1" applyFont="1" applyFill="1" applyBorder="1" applyAlignment="1">
      <alignment horizontal="right" vertical="top"/>
    </xf>
    <xf numFmtId="49" fontId="4" fillId="0" borderId="10" xfId="0" applyNumberFormat="1" applyFont="1" applyBorder="1" applyAlignment="1">
      <alignment horizontal="right" vertical="top" wrapText="1"/>
    </xf>
    <xf numFmtId="4" fontId="4" fillId="0" borderId="11" xfId="0" applyNumberFormat="1" applyFont="1" applyBorder="1" applyAlignment="1">
      <alignment horizontal="center" vertical="top"/>
    </xf>
    <xf numFmtId="4" fontId="4" fillId="0" borderId="11" xfId="14" applyNumberFormat="1" applyFont="1" applyBorder="1" applyAlignment="1">
      <alignment horizontal="right" vertical="top"/>
    </xf>
    <xf numFmtId="4" fontId="4" fillId="0" borderId="36" xfId="0" applyNumberFormat="1" applyFont="1" applyBorder="1" applyAlignment="1" applyProtection="1">
      <alignment horizontal="right" vertical="top" wrapText="1"/>
      <protection locked="0"/>
    </xf>
    <xf numFmtId="4" fontId="4" fillId="0" borderId="12" xfId="14" applyNumberFormat="1" applyFont="1" applyFill="1" applyBorder="1" applyAlignment="1">
      <alignment horizontal="right" vertical="top"/>
    </xf>
    <xf numFmtId="0" fontId="13" fillId="0" borderId="10" xfId="0" applyFont="1" applyBorder="1"/>
    <xf numFmtId="49" fontId="13" fillId="0" borderId="10" xfId="0" applyNumberFormat="1" applyFont="1" applyBorder="1" applyAlignment="1">
      <alignment vertical="center"/>
    </xf>
    <xf numFmtId="0" fontId="14" fillId="0" borderId="11" xfId="0" applyFont="1" applyBorder="1" applyAlignment="1">
      <alignment vertical="center"/>
    </xf>
    <xf numFmtId="166" fontId="14" fillId="0" borderId="12" xfId="0" applyNumberFormat="1" applyFont="1" applyBorder="1" applyAlignment="1">
      <alignment horizontal="left" vertical="center" shrinkToFit="1"/>
    </xf>
    <xf numFmtId="49" fontId="13" fillId="0" borderId="33" xfId="0" applyNumberFormat="1" applyFont="1" applyBorder="1" applyAlignment="1">
      <alignment vertical="center"/>
    </xf>
    <xf numFmtId="49" fontId="19" fillId="3" borderId="33" xfId="0" applyNumberFormat="1" applyFont="1" applyFill="1" applyBorder="1" applyAlignment="1">
      <alignment vertical="center"/>
    </xf>
    <xf numFmtId="0" fontId="15" fillId="3" borderId="1" xfId="0" applyFont="1" applyFill="1" applyBorder="1" applyAlignment="1">
      <alignment vertical="center"/>
    </xf>
    <xf numFmtId="0" fontId="15" fillId="2" borderId="26" xfId="0" applyFont="1" applyFill="1" applyBorder="1" applyAlignment="1">
      <alignment vertical="center"/>
    </xf>
    <xf numFmtId="166" fontId="15" fillId="2" borderId="27" xfId="0" applyNumberFormat="1" applyFont="1" applyFill="1" applyBorder="1" applyAlignment="1">
      <alignment vertical="center" shrinkToFit="1"/>
    </xf>
    <xf numFmtId="166" fontId="15" fillId="3" borderId="34" xfId="0" applyNumberFormat="1" applyFont="1" applyFill="1" applyBorder="1" applyAlignment="1">
      <alignment vertical="center" shrinkToFit="1"/>
    </xf>
    <xf numFmtId="49" fontId="11" fillId="4" borderId="1" xfId="9" applyNumberFormat="1" applyFont="1" applyFill="1" applyBorder="1" applyAlignment="1">
      <alignment horizontal="right" vertical="top" wrapText="1"/>
    </xf>
    <xf numFmtId="0" fontId="12" fillId="4" borderId="1" xfId="9" applyFont="1" applyFill="1" applyBorder="1" applyAlignment="1">
      <alignment horizontal="left" vertical="top" wrapText="1"/>
    </xf>
    <xf numFmtId="4" fontId="4" fillId="4" borderId="1" xfId="0" applyNumberFormat="1" applyFont="1" applyFill="1" applyBorder="1" applyAlignment="1">
      <alignment horizontal="center" vertical="top"/>
    </xf>
    <xf numFmtId="4" fontId="11" fillId="4" borderId="1" xfId="9" applyNumberFormat="1" applyFont="1" applyFill="1" applyBorder="1" applyAlignment="1">
      <alignment horizontal="right" vertical="top"/>
    </xf>
    <xf numFmtId="4" fontId="11" fillId="4" borderId="28" xfId="9" applyNumberFormat="1" applyFont="1" applyFill="1" applyBorder="1" applyAlignment="1">
      <alignment horizontal="right" vertical="top"/>
    </xf>
    <xf numFmtId="4" fontId="12" fillId="4" borderId="1" xfId="9" applyNumberFormat="1" applyFont="1" applyFill="1" applyBorder="1" applyAlignment="1">
      <alignment horizontal="center" vertical="top"/>
    </xf>
    <xf numFmtId="0" fontId="18" fillId="0" borderId="11" xfId="0" applyFont="1" applyBorder="1" applyAlignment="1">
      <alignment horizontal="left" vertical="top" wrapText="1"/>
    </xf>
    <xf numFmtId="49" fontId="11" fillId="6" borderId="0" xfId="0" applyNumberFormat="1" applyFont="1" applyFill="1" applyAlignment="1">
      <alignment horizontal="center" vertical="top" wrapText="1"/>
    </xf>
    <xf numFmtId="0" fontId="12" fillId="6" borderId="0" xfId="9" applyFont="1" applyFill="1" applyAlignment="1">
      <alignment horizontal="center" vertical="top"/>
    </xf>
    <xf numFmtId="4" fontId="12" fillId="6" borderId="0" xfId="0" applyNumberFormat="1" applyFont="1" applyFill="1" applyAlignment="1">
      <alignment horizontal="center" vertical="top" wrapText="1"/>
    </xf>
    <xf numFmtId="0" fontId="12" fillId="6" borderId="0" xfId="0" applyFont="1" applyFill="1" applyAlignment="1">
      <alignment horizontal="center" vertical="top" wrapText="1"/>
    </xf>
    <xf numFmtId="4" fontId="12" fillId="6" borderId="38" xfId="0" applyNumberFormat="1" applyFont="1" applyFill="1" applyBorder="1" applyAlignment="1">
      <alignment horizontal="center" vertical="top" wrapText="1"/>
    </xf>
    <xf numFmtId="0" fontId="18" fillId="0" borderId="11" xfId="9" applyFont="1" applyBorder="1" applyAlignment="1">
      <alignment horizontal="left" vertical="top" wrapText="1"/>
    </xf>
    <xf numFmtId="4" fontId="4" fillId="0" borderId="11" xfId="0" applyNumberFormat="1" applyFont="1" applyBorder="1" applyAlignment="1">
      <alignment horizontal="center" vertical="top" wrapText="1"/>
    </xf>
    <xf numFmtId="4" fontId="4" fillId="0" borderId="11" xfId="0" applyNumberFormat="1" applyFont="1" applyBorder="1" applyAlignment="1">
      <alignment horizontal="right" vertical="top" wrapText="1"/>
    </xf>
    <xf numFmtId="4" fontId="4" fillId="0" borderId="12" xfId="0" applyNumberFormat="1" applyFont="1" applyBorder="1" applyAlignment="1">
      <alignment horizontal="right" vertical="top" wrapText="1"/>
    </xf>
    <xf numFmtId="49" fontId="18" fillId="0" borderId="10" xfId="0" applyNumberFormat="1" applyFont="1" applyBorder="1" applyAlignment="1">
      <alignment horizontal="right" vertical="top" wrapText="1"/>
    </xf>
    <xf numFmtId="4" fontId="18" fillId="0" borderId="11" xfId="0" applyNumberFormat="1" applyFont="1" applyBorder="1" applyAlignment="1">
      <alignment horizontal="center" vertical="top"/>
    </xf>
    <xf numFmtId="4" fontId="18" fillId="0" borderId="11" xfId="14" applyNumberFormat="1" applyFont="1" applyBorder="1" applyAlignment="1">
      <alignment horizontal="right" vertical="top"/>
    </xf>
    <xf numFmtId="4" fontId="18" fillId="0" borderId="12" xfId="14" applyNumberFormat="1" applyFont="1" applyFill="1" applyBorder="1" applyAlignment="1">
      <alignment horizontal="right" vertical="top"/>
    </xf>
    <xf numFmtId="4" fontId="11" fillId="4" borderId="35" xfId="9" applyNumberFormat="1" applyFont="1" applyFill="1" applyBorder="1" applyAlignment="1">
      <alignment horizontal="right" vertical="top"/>
    </xf>
    <xf numFmtId="4" fontId="4" fillId="0" borderId="29" xfId="0" applyNumberFormat="1" applyFont="1" applyBorder="1" applyAlignment="1" applyProtection="1">
      <alignment horizontal="right" vertical="top"/>
      <protection locked="0"/>
    </xf>
    <xf numFmtId="0" fontId="20" fillId="0" borderId="0" xfId="13" applyFont="1" applyAlignment="1">
      <alignment horizontal="justify" vertical="top" wrapText="1"/>
    </xf>
    <xf numFmtId="0" fontId="4" fillId="0" borderId="9" xfId="0" applyFont="1" applyBorder="1" applyAlignment="1">
      <alignment horizontal="left" vertical="top" wrapText="1" indent="2"/>
    </xf>
    <xf numFmtId="49" fontId="13" fillId="0" borderId="30" xfId="0" applyNumberFormat="1" applyFont="1" applyBorder="1" applyAlignment="1">
      <alignment vertical="center"/>
    </xf>
    <xf numFmtId="0" fontId="14" fillId="0" borderId="31" xfId="0" applyFont="1" applyBorder="1" applyAlignment="1">
      <alignment vertical="center"/>
    </xf>
    <xf numFmtId="166" fontId="14" fillId="0" borderId="32" xfId="0" applyNumberFormat="1" applyFont="1" applyBorder="1" applyAlignment="1">
      <alignment horizontal="left" vertical="center" shrinkToFit="1"/>
    </xf>
    <xf numFmtId="49" fontId="13" fillId="0" borderId="13" xfId="0" applyNumberFormat="1" applyFont="1" applyBorder="1" applyAlignment="1">
      <alignment vertical="center"/>
    </xf>
    <xf numFmtId="4" fontId="4" fillId="9" borderId="9" xfId="14" applyNumberFormat="1" applyFont="1" applyFill="1" applyBorder="1" applyAlignment="1">
      <alignment horizontal="right" vertical="top"/>
    </xf>
    <xf numFmtId="4" fontId="4" fillId="9" borderId="29" xfId="14" applyNumberFormat="1" applyFont="1" applyFill="1" applyBorder="1" applyAlignment="1" applyProtection="1">
      <alignment horizontal="right" vertical="top"/>
      <protection locked="0"/>
    </xf>
    <xf numFmtId="49" fontId="4" fillId="9" borderId="9" xfId="0" applyNumberFormat="1" applyFont="1" applyFill="1" applyBorder="1" applyAlignment="1">
      <alignment horizontal="right" vertical="top" wrapText="1"/>
    </xf>
    <xf numFmtId="4" fontId="4" fillId="9" borderId="9" xfId="0" applyNumberFormat="1" applyFont="1" applyFill="1" applyBorder="1" applyAlignment="1">
      <alignment horizontal="center" vertical="top"/>
    </xf>
    <xf numFmtId="49" fontId="4" fillId="0" borderId="16" xfId="0" applyNumberFormat="1" applyFont="1" applyBorder="1" applyAlignment="1">
      <alignment horizontal="right" vertical="top" wrapText="1"/>
    </xf>
    <xf numFmtId="49" fontId="4" fillId="0" borderId="18" xfId="0" applyNumberFormat="1" applyFont="1" applyBorder="1" applyAlignment="1">
      <alignment horizontal="right" vertical="top" wrapText="1"/>
    </xf>
    <xf numFmtId="0" fontId="4" fillId="0" borderId="19" xfId="0" applyFont="1" applyBorder="1" applyAlignment="1">
      <alignment horizontal="left" vertical="top" wrapText="1"/>
    </xf>
    <xf numFmtId="4" fontId="4" fillId="0" borderId="19" xfId="0" applyNumberFormat="1" applyFont="1" applyBorder="1" applyAlignment="1">
      <alignment horizontal="center" vertical="top"/>
    </xf>
    <xf numFmtId="4" fontId="4" fillId="0" borderId="19" xfId="14" applyNumberFormat="1" applyFont="1" applyBorder="1" applyAlignment="1">
      <alignment horizontal="right" vertical="top"/>
    </xf>
    <xf numFmtId="49" fontId="11" fillId="4" borderId="13" xfId="9" applyNumberFormat="1" applyFont="1" applyFill="1" applyBorder="1" applyAlignment="1">
      <alignment horizontal="right" vertical="top" wrapText="1"/>
    </xf>
    <xf numFmtId="0" fontId="12" fillId="4" borderId="14" xfId="9" applyFont="1" applyFill="1" applyBorder="1" applyAlignment="1">
      <alignment horizontal="left" vertical="top" wrapText="1"/>
    </xf>
    <xf numFmtId="4" fontId="4" fillId="4" borderId="14" xfId="0" applyNumberFormat="1" applyFont="1" applyFill="1" applyBorder="1" applyAlignment="1">
      <alignment horizontal="center" vertical="top"/>
    </xf>
    <xf numFmtId="4" fontId="11" fillId="4" borderId="14" xfId="9" applyNumberFormat="1" applyFont="1" applyFill="1" applyBorder="1" applyAlignment="1">
      <alignment horizontal="right" vertical="top"/>
    </xf>
    <xf numFmtId="4" fontId="12" fillId="4" borderId="15" xfId="9" applyNumberFormat="1" applyFont="1" applyFill="1" applyBorder="1" applyAlignment="1">
      <alignment horizontal="center" vertical="top"/>
    </xf>
    <xf numFmtId="49" fontId="11" fillId="3" borderId="16" xfId="0" applyNumberFormat="1" applyFont="1" applyFill="1" applyBorder="1" applyAlignment="1">
      <alignment horizontal="right" vertical="top" wrapText="1"/>
    </xf>
    <xf numFmtId="4" fontId="12" fillId="3" borderId="17" xfId="0" applyNumberFormat="1" applyFont="1" applyFill="1" applyBorder="1" applyAlignment="1">
      <alignment horizontal="center" vertical="top" wrapText="1"/>
    </xf>
    <xf numFmtId="4" fontId="4" fillId="0" borderId="29" xfId="14" applyNumberFormat="1" applyFont="1" applyFill="1" applyBorder="1" applyAlignment="1" applyProtection="1">
      <alignment horizontal="right" vertical="top"/>
      <protection locked="0"/>
    </xf>
    <xf numFmtId="0" fontId="0" fillId="0" borderId="0" xfId="0" applyAlignment="1">
      <alignment horizontal="right"/>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3" fillId="2" borderId="11" xfId="0" applyFont="1" applyFill="1" applyBorder="1" applyAlignment="1">
      <alignment horizontal="left" vertical="center" wrapText="1"/>
    </xf>
    <xf numFmtId="0" fontId="19" fillId="0" borderId="11" xfId="0" applyFont="1" applyBorder="1" applyAlignment="1">
      <alignment horizontal="left" wrapText="1"/>
    </xf>
    <xf numFmtId="0" fontId="19" fillId="0" borderId="12" xfId="0" applyFont="1" applyBorder="1" applyAlignment="1">
      <alignment horizontal="left"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4" fillId="0" borderId="0" xfId="0" applyFont="1" applyAlignment="1">
      <alignment horizontal="left" wrapText="1"/>
    </xf>
    <xf numFmtId="0" fontId="4" fillId="0" borderId="6" xfId="0" applyFont="1" applyBorder="1" applyAlignment="1">
      <alignment horizontal="left"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8" xfId="0" applyFont="1" applyFill="1" applyBorder="1" applyAlignment="1">
      <alignment horizontal="center" vertical="center"/>
    </xf>
    <xf numFmtId="0" fontId="11" fillId="0" borderId="0" xfId="1" applyFont="1" applyAlignment="1">
      <alignment horizontal="left" vertical="top" wrapText="1"/>
    </xf>
    <xf numFmtId="0" fontId="11" fillId="0" borderId="6" xfId="1" applyFont="1" applyBorder="1" applyAlignment="1">
      <alignment horizontal="left" vertical="top" wrapText="1"/>
    </xf>
  </cellXfs>
  <cellStyles count="29">
    <cellStyle name="Comma 10" xfId="12" xr:uid="{F7AAF12F-A6E0-4A7F-A3B8-29634FAE59ED}"/>
    <cellStyle name="Comma 2 2 2" xfId="10" xr:uid="{985D7F94-6038-4253-9268-B5E17D4F190B}"/>
    <cellStyle name="Comma 3" xfId="2" xr:uid="{A029C338-30E8-48E6-8484-CFB8FD693120}"/>
    <cellStyle name="Excel Built-in Normal" xfId="18" xr:uid="{E0632E02-75EA-497A-B470-03EBBF7F982A}"/>
    <cellStyle name="Navadno" xfId="0" builtinId="0"/>
    <cellStyle name="Navadno 2" xfId="5" xr:uid="{4E46F1D7-E05D-4051-AAAB-F408A7C6EA5F}"/>
    <cellStyle name="Navadno 2 14 2" xfId="27" xr:uid="{DE6B2FBE-79D9-426D-ACE6-5CAF0C48B484}"/>
    <cellStyle name="Navadno 2 2" xfId="13" xr:uid="{403591F0-9416-43D1-A0E0-BB00D340D460}"/>
    <cellStyle name="Navadno 2 3" xfId="16" xr:uid="{0BB3414E-33D7-42E1-8B3D-4398BB1494F3}"/>
    <cellStyle name="Navadno 2 4" xfId="23" xr:uid="{F71826DF-4EAC-4C69-B21A-E9A2C47316AF}"/>
    <cellStyle name="Navadno 3" xfId="7" xr:uid="{89316956-B589-4032-816A-CFB83D777960}"/>
    <cellStyle name="Navadno 30" xfId="24" xr:uid="{A1541F78-BF43-4D00-AEB6-09A8DD3BEC95}"/>
    <cellStyle name="Navadno 31" xfId="22" xr:uid="{E9E04C4B-6662-4B4A-85E9-FBBBC2DADF71}"/>
    <cellStyle name="Navadno 33 2" xfId="26" xr:uid="{532F9FBE-B0F4-48FA-B6D2-C5E9671278B0}"/>
    <cellStyle name="Navadno 34" xfId="25" xr:uid="{27F044DC-195A-461E-9C0F-9F942B61E797}"/>
    <cellStyle name="Navadno 50" xfId="19" xr:uid="{C7C26F84-1A09-4446-B3AA-FB5BBB22AEED}"/>
    <cellStyle name="Navadno 78" xfId="21" xr:uid="{378382DD-4B2C-42D9-B127-86B024640E67}"/>
    <cellStyle name="Normal 2" xfId="3" xr:uid="{C1D7CFAD-457B-40DF-88E5-37BE339F58ED}"/>
    <cellStyle name="Normal 2 2" xfId="9" xr:uid="{5F189DE2-E67E-413C-A058-2D8138E6190B}"/>
    <cellStyle name="Normal 4" xfId="1" xr:uid="{4CA51A43-7A37-453F-AA58-83F6CB991EC4}"/>
    <cellStyle name="Odstotek 2" xfId="28" xr:uid="{E24032E8-3A31-40A0-9050-C83AAB75E29E}"/>
    <cellStyle name="Valuta" xfId="4" builtinId="4"/>
    <cellStyle name="Valuta 2" xfId="20" xr:uid="{354420C4-4AD2-46C0-A3D1-5893532C865F}"/>
    <cellStyle name="Vejica 2" xfId="6" xr:uid="{1FADD44E-E635-4D94-A53B-87A1BF6B1149}"/>
    <cellStyle name="Vejica 2 2" xfId="14" xr:uid="{2437F3F3-E448-4835-9911-B77EEAC98ABD}"/>
    <cellStyle name="Vejica 2 3" xfId="17" xr:uid="{1AD4CC87-857F-4B16-915C-A59DC3021623}"/>
    <cellStyle name="Vejica 2 4" xfId="11" xr:uid="{D6B3E3E0-683B-49E5-9E37-78558EC397F4}"/>
    <cellStyle name="Vejica 3" xfId="15" xr:uid="{B599A433-63B5-4D42-96C2-FA83FB4EE533}"/>
    <cellStyle name="Vejica 4" xfId="8" xr:uid="{DABAC69B-7B70-4F06-8106-2158AC13528A}"/>
  </cellStyles>
  <dxfs count="30">
    <dxf>
      <font>
        <b val="0"/>
        <i val="0"/>
        <strike val="0"/>
        <condense val="0"/>
        <extend val="0"/>
        <outline val="0"/>
        <shadow val="0"/>
        <u val="none"/>
        <vertAlign val="baseline"/>
        <sz val="10"/>
        <color theme="1"/>
        <name val="Calibri"/>
        <family val="2"/>
        <charset val="238"/>
        <scheme val="minor"/>
      </font>
      <numFmt numFmtId="4" formatCode="#,##0.00"/>
      <alignment horizontal="right" vertical="top" textRotation="0" wrapText="0" indent="0" justifyLastLine="0" shrinkToFit="0" readingOrder="0"/>
      <border diagonalUp="0" diagonalDown="0">
        <right/>
        <top style="thin">
          <color indexed="64"/>
        </top>
        <bottom style="thin">
          <color indexed="64"/>
        </bottom>
        <horizontal style="thin">
          <color indexed="64"/>
        </horizontal>
      </border>
    </dxf>
    <dxf>
      <font>
        <b val="0"/>
        <i val="0"/>
        <strike val="0"/>
        <condense val="0"/>
        <extend val="0"/>
        <outline val="0"/>
        <shadow val="0"/>
        <u val="none"/>
        <vertAlign val="baseline"/>
        <sz val="10"/>
        <color theme="1"/>
        <name val="Calibri"/>
        <family val="2"/>
        <charset val="238"/>
        <scheme val="minor"/>
      </font>
      <numFmt numFmtId="4" formatCode="#,##0.00"/>
      <alignment horizontal="right" vertical="top" textRotation="0" wrapText="0" indent="0" justifyLastLine="0" shrinkToFit="0" readingOrder="0"/>
      <border diagonalUp="0" diagonalDown="0">
        <left style="medium">
          <color indexed="64"/>
        </left>
        <right style="medium">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0"/>
        <color theme="1"/>
        <name val="Calibri"/>
        <family val="2"/>
        <charset val="238"/>
        <scheme val="minor"/>
      </font>
      <numFmt numFmtId="4" formatCode="#,##0.00"/>
      <alignment horizontal="right" vertical="top" textRotation="0" wrapText="0" indent="0" justifyLastLine="0" shrinkToFit="0" readingOrder="0"/>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0"/>
        <color theme="1"/>
        <name val="Calibri"/>
        <family val="2"/>
        <charset val="238"/>
        <scheme val="minor"/>
      </font>
      <numFmt numFmtId="4" formatCode="#,##0.00"/>
      <alignment horizontal="center" vertical="top" textRotation="0" wrapText="0" indent="0" justifyLastLine="0" shrinkToFit="0" readingOrder="0"/>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0"/>
        <color theme="1"/>
        <name val="Calibri"/>
        <family val="2"/>
        <charset val="238"/>
        <scheme val="minor"/>
      </font>
      <alignment horizontal="left" vertical="top" textRotation="0" wrapText="1" indent="0" justifyLastLine="0" shrinkToFit="0" readingOrder="0"/>
      <border diagonalUp="0" diagonalDown="0" outline="0">
        <left/>
        <top style="thin">
          <color indexed="64"/>
        </top>
        <bottom style="thin">
          <color indexed="64"/>
        </bottom>
      </border>
    </dxf>
    <dxf>
      <font>
        <b val="0"/>
        <i val="0"/>
        <strike val="0"/>
        <condense val="0"/>
        <extend val="0"/>
        <outline val="0"/>
        <shadow val="0"/>
        <u val="none"/>
        <vertAlign val="baseline"/>
        <sz val="10"/>
        <color theme="1"/>
        <name val="Calibri"/>
        <family val="2"/>
        <charset val="238"/>
        <scheme val="minor"/>
      </font>
      <numFmt numFmtId="30" formatCode="@"/>
      <alignment horizontal="right" vertical="top" textRotation="0" wrapText="1"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name val="Calibri"/>
        <family val="2"/>
        <charset val="238"/>
        <scheme val="minor"/>
      </font>
      <alignment vertical="top" textRotation="0" indent="0" justifyLastLine="0" shrinkToFit="0" readingOrder="0"/>
    </dxf>
    <dxf>
      <border>
        <bottom style="thin">
          <color indexed="64"/>
        </bottom>
      </border>
    </dxf>
    <dxf>
      <font>
        <b/>
        <i val="0"/>
        <strike val="0"/>
        <condense val="0"/>
        <extend val="0"/>
        <outline val="0"/>
        <shadow val="0"/>
        <u val="none"/>
        <vertAlign val="baseline"/>
        <sz val="10"/>
        <color auto="1"/>
        <name val="Calibri"/>
        <family val="2"/>
        <charset val="238"/>
        <scheme val="minor"/>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top/>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D7200A4-B020-46C1-BFBA-C3CE916C5B1D}" name="Tabela1" displayName="Tabela1" ref="A1:F225" totalsRowShown="0" headerRowDxfId="10" dataDxfId="8" headerRowBorderDxfId="9" tableBorderDxfId="7" totalsRowBorderDxfId="6">
  <autoFilter ref="A1:F225" xr:uid="{8D7200A4-B020-46C1-BFBA-C3CE916C5B1D}"/>
  <tableColumns count="6">
    <tableColumn id="10" xr3:uid="{51DFF0D0-2385-4306-B064-5878E4DC5ECA}" name="Poz." dataDxfId="5"/>
    <tableColumn id="2" xr3:uid="{D1937512-D3D0-4B76-B266-B57AC0FE2530}" name="Opis postavke" dataDxfId="4"/>
    <tableColumn id="4" xr3:uid="{EAEFBE26-523C-4CD7-9301-3714FD9F0106}" name="Em" dataDxfId="3"/>
    <tableColumn id="5" xr3:uid="{6F956F2A-AF70-46C5-91BB-6EF3345350C5}" name="Količina" dataDxfId="2"/>
    <tableColumn id="6" xr3:uid="{654DB9EA-3754-43EE-966C-F38331B53CE5}" name="Cena/Em" dataDxfId="1"/>
    <tableColumn id="7" xr3:uid="{B99C86D6-19DC-47B0-B232-A22AF68E753E}" name="Skupaj" dataDxfId="0">
      <calculatedColumnFormula>IF(Tabela1[[#This Row],[Cena/Em]]&lt;&gt;0,(IFERROR(ROUND(SUM(Tabela1[[#This Row],[Količina]]*Tabela1[[#This Row],[Cena/Em]]),2),"")),"Preveri vnos cene")</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FB192-F5AE-490E-8457-281F5E5106D0}">
  <dimension ref="A1:F67"/>
  <sheetViews>
    <sheetView topLeftCell="A34" zoomScaleNormal="100" workbookViewId="0">
      <selection activeCell="B46" sqref="B46"/>
    </sheetView>
  </sheetViews>
  <sheetFormatPr defaultRowHeight="15"/>
  <cols>
    <col min="1" max="1" width="7.7109375" customWidth="1"/>
    <col min="2" max="2" width="30.7109375" customWidth="1"/>
    <col min="3" max="3" width="6.5703125" customWidth="1"/>
    <col min="4" max="4" width="19.7109375" customWidth="1"/>
    <col min="5" max="5" width="4.140625" customWidth="1"/>
    <col min="6" max="6" width="14.85546875" customWidth="1"/>
  </cols>
  <sheetData>
    <row r="1" spans="1:6" ht="35.25" customHeight="1" thickBot="1">
      <c r="A1" s="149" t="s">
        <v>200</v>
      </c>
      <c r="B1" s="150"/>
      <c r="C1" s="150"/>
      <c r="D1" s="150"/>
      <c r="E1" s="150"/>
      <c r="F1" s="151"/>
    </row>
    <row r="2" spans="1:6" ht="29.25" customHeight="1" thickBot="1">
      <c r="A2" s="152" t="s">
        <v>2</v>
      </c>
      <c r="B2" s="153"/>
      <c r="C2" s="153"/>
      <c r="D2" s="153"/>
      <c r="E2" s="153"/>
      <c r="F2" s="154"/>
    </row>
    <row r="3" spans="1:6" ht="3.75" customHeight="1" thickBot="1">
      <c r="A3" s="23"/>
      <c r="B3" s="24"/>
      <c r="C3" s="24"/>
      <c r="D3" s="24"/>
      <c r="E3" s="25"/>
      <c r="F3" s="26"/>
    </row>
    <row r="4" spans="1:6" ht="51.75" customHeight="1" thickBot="1">
      <c r="A4" s="93"/>
      <c r="B4" s="156" t="s">
        <v>442</v>
      </c>
      <c r="C4" s="156"/>
      <c r="D4" s="156"/>
      <c r="E4" s="156"/>
      <c r="F4" s="157"/>
    </row>
    <row r="5" spans="1:6" s="2" customFormat="1" ht="18.600000000000001" customHeight="1">
      <c r="A5" s="77" t="s">
        <v>55</v>
      </c>
      <c r="B5" s="34" t="s">
        <v>42</v>
      </c>
      <c r="C5" s="34"/>
      <c r="D5" s="34"/>
      <c r="E5" s="34"/>
      <c r="F5" s="78">
        <f>'Popis del'!F3</f>
        <v>0</v>
      </c>
    </row>
    <row r="6" spans="1:6" s="2" customFormat="1" ht="18.600000000000001" customHeight="1">
      <c r="A6" s="79" t="s">
        <v>101</v>
      </c>
      <c r="B6" s="37" t="s">
        <v>102</v>
      </c>
      <c r="C6" s="37"/>
      <c r="D6" s="37"/>
      <c r="E6" s="37"/>
      <c r="F6" s="80">
        <f>'Popis del'!F30</f>
        <v>0</v>
      </c>
    </row>
    <row r="7" spans="1:6" s="2" customFormat="1" ht="18.600000000000001" customHeight="1">
      <c r="A7" s="75" t="s">
        <v>104</v>
      </c>
      <c r="B7" s="76" t="s">
        <v>149</v>
      </c>
      <c r="C7" s="76"/>
      <c r="D7" s="76"/>
      <c r="E7" s="76"/>
      <c r="F7" s="81">
        <f>'Popis del'!F31</f>
        <v>0</v>
      </c>
    </row>
    <row r="8" spans="1:6" s="2" customFormat="1" ht="18.600000000000001" customHeight="1">
      <c r="A8" s="75" t="s">
        <v>122</v>
      </c>
      <c r="B8" s="76" t="s">
        <v>129</v>
      </c>
      <c r="C8" s="76"/>
      <c r="D8" s="76"/>
      <c r="E8" s="76"/>
      <c r="F8" s="81">
        <f>'Popis del'!F42</f>
        <v>0</v>
      </c>
    </row>
    <row r="9" spans="1:6" s="2" customFormat="1" ht="18.600000000000001" customHeight="1">
      <c r="A9" s="75" t="s">
        <v>133</v>
      </c>
      <c r="B9" s="76" t="s">
        <v>150</v>
      </c>
      <c r="C9" s="76"/>
      <c r="D9" s="76"/>
      <c r="E9" s="76"/>
      <c r="F9" s="81">
        <f>'Popis del'!F51</f>
        <v>0</v>
      </c>
    </row>
    <row r="10" spans="1:6" s="2" customFormat="1" ht="18" customHeight="1" thickBot="1">
      <c r="A10" s="75" t="s">
        <v>148</v>
      </c>
      <c r="B10" s="76" t="s">
        <v>143</v>
      </c>
      <c r="C10" s="76"/>
      <c r="D10" s="76"/>
      <c r="E10" s="76"/>
      <c r="F10" s="81">
        <f>'Popis del'!F57</f>
        <v>0</v>
      </c>
    </row>
    <row r="11" spans="1:6" s="2" customFormat="1" ht="3.75" customHeight="1" thickBot="1">
      <c r="A11" s="94"/>
      <c r="B11" s="95"/>
      <c r="C11" s="95"/>
      <c r="D11" s="95"/>
      <c r="E11" s="95"/>
      <c r="F11" s="96"/>
    </row>
    <row r="12" spans="1:6" s="2" customFormat="1" ht="33" customHeight="1">
      <c r="A12" s="97"/>
      <c r="B12" s="158" t="s">
        <v>395</v>
      </c>
      <c r="C12" s="158"/>
      <c r="D12" s="158"/>
      <c r="E12" s="158"/>
      <c r="F12" s="159"/>
    </row>
    <row r="13" spans="1:6" s="2" customFormat="1" ht="18.600000000000001" customHeight="1">
      <c r="A13" s="98" t="s">
        <v>152</v>
      </c>
      <c r="B13" s="99" t="s">
        <v>256</v>
      </c>
      <c r="C13" s="74"/>
      <c r="D13" s="74"/>
      <c r="E13" s="74"/>
      <c r="F13" s="102">
        <f>'Popis del'!F62</f>
        <v>0</v>
      </c>
    </row>
    <row r="14" spans="1:6" s="2" customFormat="1" ht="18.600000000000001" customHeight="1">
      <c r="A14" s="75" t="s">
        <v>153</v>
      </c>
      <c r="B14" s="76" t="s">
        <v>46</v>
      </c>
      <c r="C14" s="76"/>
      <c r="D14" s="76"/>
      <c r="E14" s="76"/>
      <c r="F14" s="81">
        <f>'Popis del'!F63</f>
        <v>0</v>
      </c>
    </row>
    <row r="15" spans="1:6" ht="18.600000000000001" customHeight="1">
      <c r="A15" s="75" t="s">
        <v>158</v>
      </c>
      <c r="B15" s="76" t="s">
        <v>159</v>
      </c>
      <c r="C15" s="76"/>
      <c r="D15" s="76"/>
      <c r="E15" s="76"/>
      <c r="F15" s="81">
        <f>'Popis del'!F69</f>
        <v>0</v>
      </c>
    </row>
    <row r="16" spans="1:6" ht="18.600000000000001" customHeight="1">
      <c r="A16" s="75" t="s">
        <v>178</v>
      </c>
      <c r="B16" s="76" t="s">
        <v>196</v>
      </c>
      <c r="C16" s="76"/>
      <c r="D16" s="76"/>
      <c r="E16" s="76"/>
      <c r="F16" s="81">
        <f>'Popis del'!F79</f>
        <v>0</v>
      </c>
    </row>
    <row r="17" spans="1:6" ht="18.600000000000001" customHeight="1">
      <c r="A17" s="75" t="s">
        <v>183</v>
      </c>
      <c r="B17" s="76" t="s">
        <v>184</v>
      </c>
      <c r="C17" s="76"/>
      <c r="D17" s="76"/>
      <c r="E17" s="76"/>
      <c r="F17" s="81">
        <f>'Popis del'!E86</f>
        <v>0</v>
      </c>
    </row>
    <row r="18" spans="1:6" s="2" customFormat="1" ht="18.600000000000001" customHeight="1" thickBot="1">
      <c r="A18" s="75" t="s">
        <v>192</v>
      </c>
      <c r="B18" s="76" t="s">
        <v>195</v>
      </c>
      <c r="C18" s="76"/>
      <c r="D18" s="76"/>
      <c r="E18" s="76"/>
      <c r="F18" s="81">
        <f>'Popis del'!F90</f>
        <v>0</v>
      </c>
    </row>
    <row r="19" spans="1:6" s="2" customFormat="1" ht="3.75" customHeight="1" thickBot="1">
      <c r="A19" s="94"/>
      <c r="B19" s="95"/>
      <c r="C19" s="95"/>
      <c r="D19" s="95"/>
      <c r="E19" s="95"/>
      <c r="F19" s="96"/>
    </row>
    <row r="20" spans="1:6" s="2" customFormat="1" ht="33" customHeight="1">
      <c r="A20" s="97"/>
      <c r="B20" s="158" t="s">
        <v>396</v>
      </c>
      <c r="C20" s="158"/>
      <c r="D20" s="158"/>
      <c r="E20" s="158"/>
      <c r="F20" s="159"/>
    </row>
    <row r="21" spans="1:6" s="2" customFormat="1" ht="18.600000000000001" customHeight="1">
      <c r="A21" s="98" t="s">
        <v>215</v>
      </c>
      <c r="B21" s="99" t="s">
        <v>260</v>
      </c>
      <c r="C21" s="74"/>
      <c r="D21" s="74"/>
      <c r="E21" s="74"/>
      <c r="F21" s="102">
        <f>'Popis del'!F98</f>
        <v>0</v>
      </c>
    </row>
    <row r="22" spans="1:6" s="2" customFormat="1" ht="18.600000000000001" customHeight="1">
      <c r="A22" s="75" t="s">
        <v>201</v>
      </c>
      <c r="B22" s="76" t="s">
        <v>46</v>
      </c>
      <c r="C22" s="76"/>
      <c r="D22" s="76"/>
      <c r="E22" s="76"/>
      <c r="F22" s="81">
        <f>'Popis del'!F99</f>
        <v>0</v>
      </c>
    </row>
    <row r="23" spans="1:6" ht="18.600000000000001" customHeight="1">
      <c r="A23" s="75" t="s">
        <v>202</v>
      </c>
      <c r="B23" s="76" t="s">
        <v>159</v>
      </c>
      <c r="C23" s="76"/>
      <c r="D23" s="76"/>
      <c r="E23" s="76"/>
      <c r="F23" s="81">
        <f>'Popis del'!F79</f>
        <v>0</v>
      </c>
    </row>
    <row r="24" spans="1:6" ht="18.600000000000001" customHeight="1">
      <c r="A24" s="75" t="s">
        <v>262</v>
      </c>
      <c r="B24" s="76" t="s">
        <v>196</v>
      </c>
      <c r="C24" s="76"/>
      <c r="D24" s="76"/>
      <c r="E24" s="76"/>
      <c r="F24" s="81">
        <f>'Popis del'!F90</f>
        <v>0</v>
      </c>
    </row>
    <row r="25" spans="1:6" ht="18.600000000000001" customHeight="1">
      <c r="A25" s="75" t="s">
        <v>267</v>
      </c>
      <c r="B25" s="76" t="s">
        <v>184</v>
      </c>
      <c r="C25" s="76"/>
      <c r="D25" s="76"/>
      <c r="E25" s="76"/>
      <c r="F25" s="81">
        <f>'Popis del'!E96</f>
        <v>0</v>
      </c>
    </row>
    <row r="26" spans="1:6" s="2" customFormat="1" ht="18.600000000000001" customHeight="1" thickBot="1">
      <c r="A26" s="75" t="s">
        <v>270</v>
      </c>
      <c r="B26" s="76" t="s">
        <v>195</v>
      </c>
      <c r="C26" s="76"/>
      <c r="D26" s="76"/>
      <c r="E26" s="76"/>
      <c r="F26" s="81">
        <f>'Popis del'!F125</f>
        <v>0</v>
      </c>
    </row>
    <row r="27" spans="1:6" s="2" customFormat="1" ht="3.75" customHeight="1" thickBot="1">
      <c r="A27" s="94"/>
      <c r="B27" s="95"/>
      <c r="C27" s="95"/>
      <c r="D27" s="95"/>
      <c r="E27" s="95"/>
      <c r="F27" s="96"/>
    </row>
    <row r="28" spans="1:6" s="2" customFormat="1" ht="18.600000000000001" customHeight="1">
      <c r="A28" s="97"/>
      <c r="B28" s="160" t="s">
        <v>441</v>
      </c>
      <c r="C28" s="160"/>
      <c r="D28" s="160"/>
      <c r="E28" s="160"/>
      <c r="F28" s="161"/>
    </row>
    <row r="29" spans="1:6" s="2" customFormat="1" ht="18.600000000000001" customHeight="1">
      <c r="A29" s="98" t="s">
        <v>203</v>
      </c>
      <c r="B29" s="99" t="s">
        <v>259</v>
      </c>
      <c r="C29" s="74"/>
      <c r="D29" s="74"/>
      <c r="E29" s="74"/>
      <c r="F29" s="80">
        <f>'Popis del'!F125</f>
        <v>0</v>
      </c>
    </row>
    <row r="30" spans="1:6" s="2" customFormat="1" ht="18.600000000000001" customHeight="1">
      <c r="A30" s="75" t="s">
        <v>205</v>
      </c>
      <c r="B30" s="76" t="s">
        <v>159</v>
      </c>
      <c r="C30" s="76"/>
      <c r="D30" s="76"/>
      <c r="E30" s="76"/>
      <c r="F30" s="81">
        <f>'Popis del'!F126</f>
        <v>0</v>
      </c>
    </row>
    <row r="31" spans="1:6" ht="18.600000000000001" customHeight="1" thickBot="1">
      <c r="A31" s="75" t="s">
        <v>206</v>
      </c>
      <c r="B31" s="76" t="s">
        <v>234</v>
      </c>
      <c r="C31" s="76"/>
      <c r="D31" s="76"/>
      <c r="E31" s="76"/>
      <c r="F31" s="81">
        <f>'Popis del'!F137</f>
        <v>0</v>
      </c>
    </row>
    <row r="32" spans="1:6" s="2" customFormat="1" ht="3.75" customHeight="1" thickBot="1">
      <c r="A32" s="94"/>
      <c r="B32" s="95"/>
      <c r="C32" s="95"/>
      <c r="D32" s="95"/>
      <c r="E32" s="95"/>
      <c r="F32" s="96"/>
    </row>
    <row r="33" spans="1:6" s="2" customFormat="1" ht="33" customHeight="1">
      <c r="A33" s="97"/>
      <c r="B33" s="158" t="s">
        <v>397</v>
      </c>
      <c r="C33" s="158"/>
      <c r="D33" s="158"/>
      <c r="E33" s="158"/>
      <c r="F33" s="159"/>
    </row>
    <row r="34" spans="1:6" s="2" customFormat="1" ht="18.600000000000001" customHeight="1">
      <c r="A34" s="98" t="s">
        <v>283</v>
      </c>
      <c r="B34" s="99" t="s">
        <v>375</v>
      </c>
      <c r="C34" s="74"/>
      <c r="D34" s="74"/>
      <c r="E34" s="74"/>
      <c r="F34" s="102">
        <f>'Popis del'!F149</f>
        <v>0</v>
      </c>
    </row>
    <row r="35" spans="1:6" s="2" customFormat="1" ht="18.600000000000001" customHeight="1">
      <c r="A35" s="75" t="s">
        <v>284</v>
      </c>
      <c r="B35" s="76" t="s">
        <v>46</v>
      </c>
      <c r="C35" s="76"/>
      <c r="D35" s="76"/>
      <c r="E35" s="76"/>
      <c r="F35" s="81">
        <f>'Popis del'!F150</f>
        <v>0</v>
      </c>
    </row>
    <row r="36" spans="1:6" s="2" customFormat="1" ht="18.600000000000001" customHeight="1">
      <c r="A36" s="75" t="s">
        <v>299</v>
      </c>
      <c r="B36" s="76" t="s">
        <v>376</v>
      </c>
      <c r="C36" s="76"/>
      <c r="D36" s="76"/>
      <c r="E36" s="76"/>
      <c r="F36" s="81">
        <f>'Popis del'!F153</f>
        <v>0</v>
      </c>
    </row>
    <row r="37" spans="1:6" ht="18.600000000000001" customHeight="1">
      <c r="A37" s="75" t="s">
        <v>300</v>
      </c>
      <c r="B37" s="76" t="s">
        <v>293</v>
      </c>
      <c r="C37" s="76"/>
      <c r="D37" s="76"/>
      <c r="E37" s="76"/>
      <c r="F37" s="81">
        <f>'Popis del'!F159</f>
        <v>0</v>
      </c>
    </row>
    <row r="38" spans="1:6" ht="18.600000000000001" customHeight="1">
      <c r="A38" s="75" t="s">
        <v>309</v>
      </c>
      <c r="B38" s="76" t="s">
        <v>184</v>
      </c>
      <c r="C38" s="76"/>
      <c r="D38" s="76"/>
      <c r="E38" s="76"/>
      <c r="F38" s="81">
        <f>'Popis del'!F161</f>
        <v>0</v>
      </c>
    </row>
    <row r="39" spans="1:6" ht="18.600000000000001" customHeight="1" thickBot="1">
      <c r="A39" s="75" t="s">
        <v>311</v>
      </c>
      <c r="B39" s="76" t="s">
        <v>195</v>
      </c>
      <c r="C39" s="76"/>
      <c r="D39" s="76"/>
      <c r="E39" s="76"/>
      <c r="F39" s="81">
        <f>'Popis del'!F163</f>
        <v>0</v>
      </c>
    </row>
    <row r="40" spans="1:6" s="2" customFormat="1" ht="3.75" customHeight="1" thickBot="1">
      <c r="A40" s="130"/>
      <c r="B40" s="95"/>
      <c r="C40" s="95"/>
      <c r="D40" s="95"/>
      <c r="E40" s="95"/>
      <c r="F40" s="96"/>
    </row>
    <row r="41" spans="1:6" ht="18" customHeight="1">
      <c r="A41" s="97"/>
      <c r="B41" s="160" t="s">
        <v>377</v>
      </c>
      <c r="C41" s="160"/>
      <c r="D41" s="160"/>
      <c r="E41" s="160"/>
      <c r="F41" s="161"/>
    </row>
    <row r="42" spans="1:6" ht="18" customHeight="1">
      <c r="A42" s="98" t="s">
        <v>317</v>
      </c>
      <c r="B42" s="99" t="s">
        <v>380</v>
      </c>
      <c r="C42" s="74"/>
      <c r="D42" s="74"/>
      <c r="E42" s="74"/>
      <c r="F42" s="102">
        <f>'Popis del'!F169</f>
        <v>0</v>
      </c>
    </row>
    <row r="43" spans="1:6" ht="18" customHeight="1">
      <c r="A43" s="75" t="s">
        <v>318</v>
      </c>
      <c r="B43" s="76" t="s">
        <v>46</v>
      </c>
      <c r="C43" s="76"/>
      <c r="D43" s="76"/>
      <c r="E43" s="76"/>
      <c r="F43" s="81">
        <f>'Popis del'!F170</f>
        <v>0</v>
      </c>
    </row>
    <row r="44" spans="1:6" ht="18" customHeight="1">
      <c r="A44" s="75" t="s">
        <v>322</v>
      </c>
      <c r="B44" s="76" t="s">
        <v>376</v>
      </c>
      <c r="C44" s="76"/>
      <c r="D44" s="76"/>
      <c r="E44" s="76"/>
      <c r="F44" s="81">
        <f>'Popis del'!F173</f>
        <v>0</v>
      </c>
    </row>
    <row r="45" spans="1:6" ht="18" customHeight="1">
      <c r="A45" s="75" t="s">
        <v>323</v>
      </c>
      <c r="B45" s="76" t="s">
        <v>234</v>
      </c>
      <c r="C45" s="76"/>
      <c r="D45" s="76"/>
      <c r="E45" s="76"/>
      <c r="F45" s="81">
        <f>'Popis del'!F175</f>
        <v>0</v>
      </c>
    </row>
    <row r="46" spans="1:6" ht="18" customHeight="1">
      <c r="A46" s="75" t="s">
        <v>332</v>
      </c>
      <c r="B46" s="76" t="s">
        <v>443</v>
      </c>
      <c r="C46" s="76"/>
      <c r="D46" s="76"/>
      <c r="E46" s="76"/>
      <c r="F46" s="81">
        <f>'Popis del'!F186</f>
        <v>0</v>
      </c>
    </row>
    <row r="47" spans="1:6" ht="18" customHeight="1" thickBot="1">
      <c r="A47" s="75" t="s">
        <v>334</v>
      </c>
      <c r="B47" s="76" t="s">
        <v>195</v>
      </c>
      <c r="C47" s="76"/>
      <c r="D47" s="76"/>
      <c r="E47" s="76"/>
      <c r="F47" s="81">
        <f>'Popis del'!F189</f>
        <v>0</v>
      </c>
    </row>
    <row r="48" spans="1:6" ht="16.5" thickBot="1">
      <c r="A48" s="94"/>
      <c r="B48" s="95"/>
      <c r="C48" s="95"/>
      <c r="D48" s="95"/>
      <c r="E48" s="95"/>
      <c r="F48" s="96"/>
    </row>
    <row r="49" spans="1:6" ht="15.75">
      <c r="A49" s="97"/>
      <c r="B49" s="160" t="s">
        <v>204</v>
      </c>
      <c r="C49" s="160"/>
      <c r="D49" s="160"/>
      <c r="E49" s="160"/>
      <c r="F49" s="161"/>
    </row>
    <row r="50" spans="1:6" ht="15.75">
      <c r="A50" s="98" t="s">
        <v>381</v>
      </c>
      <c r="B50" s="74" t="s">
        <v>258</v>
      </c>
      <c r="C50" s="74"/>
      <c r="D50" s="74"/>
      <c r="E50" s="74"/>
      <c r="F50" s="80">
        <f>'Popis del'!F198</f>
        <v>0</v>
      </c>
    </row>
    <row r="51" spans="1:6" ht="15.75">
      <c r="A51" s="75" t="s">
        <v>351</v>
      </c>
      <c r="B51" s="76" t="s">
        <v>208</v>
      </c>
      <c r="C51" s="76"/>
      <c r="D51" s="76"/>
      <c r="E51" s="76"/>
      <c r="F51" s="81">
        <f>'Popis del'!F199</f>
        <v>0</v>
      </c>
    </row>
    <row r="52" spans="1:6" ht="15.75">
      <c r="A52" s="75" t="s">
        <v>356</v>
      </c>
      <c r="B52" s="76" t="s">
        <v>207</v>
      </c>
      <c r="C52" s="76"/>
      <c r="D52" s="76"/>
      <c r="E52" s="76"/>
      <c r="F52" s="81">
        <f>'Popis del'!F204</f>
        <v>0</v>
      </c>
    </row>
    <row r="53" spans="1:6" ht="15.75">
      <c r="A53" s="75" t="s">
        <v>360</v>
      </c>
      <c r="B53" s="76" t="s">
        <v>349</v>
      </c>
      <c r="C53" s="76"/>
      <c r="D53" s="76"/>
      <c r="E53" s="76"/>
      <c r="F53" s="81">
        <f>'Popis del'!F208</f>
        <v>0</v>
      </c>
    </row>
    <row r="54" spans="1:6" ht="15.75">
      <c r="A54" s="75" t="s">
        <v>362</v>
      </c>
      <c r="B54" s="76" t="s">
        <v>214</v>
      </c>
      <c r="C54" s="76"/>
      <c r="D54" s="76"/>
      <c r="E54" s="76"/>
      <c r="F54" s="81">
        <f>'Popis del'!F210</f>
        <v>0</v>
      </c>
    </row>
    <row r="55" spans="1:6" ht="16.5" thickBot="1">
      <c r="A55" s="75" t="s">
        <v>398</v>
      </c>
      <c r="B55" s="76" t="s">
        <v>401</v>
      </c>
      <c r="C55" s="76"/>
      <c r="D55" s="76"/>
      <c r="E55" s="76"/>
      <c r="F55" s="81">
        <f>'Popis del'!F216</f>
        <v>0</v>
      </c>
    </row>
    <row r="56" spans="1:6" ht="16.5" thickBot="1">
      <c r="A56" s="94"/>
      <c r="B56" s="95"/>
      <c r="C56" s="95"/>
      <c r="D56" s="95"/>
      <c r="E56" s="95"/>
      <c r="F56" s="96"/>
    </row>
    <row r="57" spans="1:6" ht="15.75">
      <c r="A57" s="97"/>
      <c r="B57" s="160" t="s">
        <v>413</v>
      </c>
      <c r="C57" s="160"/>
      <c r="D57" s="160"/>
      <c r="E57" s="160"/>
      <c r="F57" s="161"/>
    </row>
    <row r="58" spans="1:6" ht="15.75">
      <c r="A58" s="98" t="s">
        <v>419</v>
      </c>
      <c r="B58" s="74" t="s">
        <v>413</v>
      </c>
      <c r="C58" s="74"/>
      <c r="D58" s="74"/>
      <c r="E58" s="74"/>
      <c r="F58" s="80">
        <f>'Popis del'!F220</f>
        <v>0</v>
      </c>
    </row>
    <row r="59" spans="1:6" ht="15.75">
      <c r="A59" s="75" t="s">
        <v>408</v>
      </c>
      <c r="B59" s="76" t="s">
        <v>413</v>
      </c>
      <c r="C59" s="76"/>
      <c r="D59" s="76"/>
      <c r="E59" s="76"/>
      <c r="F59" s="81">
        <f>'Popis del'!F221</f>
        <v>0</v>
      </c>
    </row>
    <row r="60" spans="1:6" ht="16.5" thickBot="1">
      <c r="A60" s="127"/>
      <c r="B60" s="128"/>
      <c r="C60" s="128"/>
      <c r="D60" s="128"/>
      <c r="E60" s="128"/>
      <c r="F60" s="129"/>
    </row>
    <row r="61" spans="1:6" ht="17.25" thickTop="1" thickBot="1">
      <c r="A61" s="27"/>
      <c r="B61" s="100" t="s">
        <v>51</v>
      </c>
      <c r="C61" s="100"/>
      <c r="D61" s="100"/>
      <c r="E61" s="100"/>
      <c r="F61" s="101">
        <f>F5+F6+F21+F13+F34+F42+F29+F50+F58</f>
        <v>0</v>
      </c>
    </row>
    <row r="62" spans="1:6" ht="16.5" thickBot="1">
      <c r="A62" s="31"/>
      <c r="B62" s="25"/>
      <c r="C62" s="25"/>
      <c r="D62" s="25"/>
      <c r="E62" s="25"/>
      <c r="F62" s="32"/>
    </row>
    <row r="63" spans="1:6" ht="16.5" thickBot="1">
      <c r="A63" s="28"/>
      <c r="B63" s="155" t="s">
        <v>440</v>
      </c>
      <c r="C63" s="155"/>
      <c r="D63" s="155"/>
      <c r="E63" s="29"/>
      <c r="F63" s="30">
        <f>ROUND(0.1*SUM(F61),2)</f>
        <v>0</v>
      </c>
    </row>
    <row r="64" spans="1:6" ht="16.5" thickBot="1">
      <c r="A64" s="31"/>
      <c r="B64" s="25"/>
      <c r="C64" s="25"/>
      <c r="D64" s="25"/>
      <c r="E64" s="25"/>
      <c r="F64" s="32"/>
    </row>
    <row r="65" spans="1:6" ht="15.75">
      <c r="A65" s="33"/>
      <c r="B65" s="34" t="s">
        <v>40</v>
      </c>
      <c r="C65" s="34"/>
      <c r="D65" s="34"/>
      <c r="E65" s="34"/>
      <c r="F65" s="35">
        <f>ROUND(F63+F61,2)</f>
        <v>0</v>
      </c>
    </row>
    <row r="66" spans="1:6" ht="15.75">
      <c r="A66" s="36"/>
      <c r="B66" s="37" t="s">
        <v>41</v>
      </c>
      <c r="C66" s="37"/>
      <c r="D66" s="37"/>
      <c r="E66" s="37"/>
      <c r="F66" s="38">
        <f>ROUND(F65*0.22,2)</f>
        <v>0</v>
      </c>
    </row>
    <row r="67" spans="1:6" ht="16.5" thickBot="1">
      <c r="A67" s="39"/>
      <c r="B67" s="40" t="s">
        <v>5</v>
      </c>
      <c r="C67" s="40"/>
      <c r="D67" s="40"/>
      <c r="E67" s="40"/>
      <c r="F67" s="41">
        <f>F65+F66</f>
        <v>0</v>
      </c>
    </row>
  </sheetData>
  <mergeCells count="11">
    <mergeCell ref="A1:F1"/>
    <mergeCell ref="A2:F2"/>
    <mergeCell ref="B63:D63"/>
    <mergeCell ref="B4:F4"/>
    <mergeCell ref="B12:F12"/>
    <mergeCell ref="B28:F28"/>
    <mergeCell ref="B49:F49"/>
    <mergeCell ref="B20:F20"/>
    <mergeCell ref="B33:F33"/>
    <mergeCell ref="B41:F41"/>
    <mergeCell ref="B57:F57"/>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38CA6-7F7B-4554-B1C7-DEE0CEFA0D42}">
  <dimension ref="A1:F39"/>
  <sheetViews>
    <sheetView zoomScaleNormal="100" workbookViewId="0">
      <selection activeCell="D17" sqref="D17"/>
    </sheetView>
  </sheetViews>
  <sheetFormatPr defaultRowHeight="15"/>
  <cols>
    <col min="1" max="1" width="4.7109375" style="1" customWidth="1"/>
    <col min="2" max="2" width="36.140625" style="1" customWidth="1"/>
    <col min="3" max="3" width="9.140625" style="1"/>
    <col min="4" max="4" width="9.42578125" style="1" bestFit="1" customWidth="1"/>
    <col min="5" max="5" width="10.7109375" style="1" bestFit="1" customWidth="1"/>
    <col min="6" max="6" width="16.7109375" style="1" customWidth="1"/>
  </cols>
  <sheetData>
    <row r="1" spans="1:6" ht="18.75" customHeight="1">
      <c r="A1" s="164" t="s">
        <v>19</v>
      </c>
      <c r="B1" s="165"/>
      <c r="C1" s="165"/>
      <c r="D1" s="165"/>
      <c r="E1" s="165"/>
      <c r="F1" s="166"/>
    </row>
    <row r="2" spans="1:6">
      <c r="A2" s="167"/>
      <c r="B2" s="168"/>
      <c r="C2" s="168"/>
      <c r="D2" s="168"/>
      <c r="E2" s="168"/>
      <c r="F2" s="169"/>
    </row>
    <row r="3" spans="1:6">
      <c r="A3" s="3"/>
      <c r="B3" s="4"/>
      <c r="C3" s="4"/>
      <c r="D3" s="4"/>
      <c r="E3" s="4"/>
      <c r="F3" s="5"/>
    </row>
    <row r="4" spans="1:6">
      <c r="A4" s="3"/>
      <c r="B4" s="6" t="s">
        <v>21</v>
      </c>
      <c r="C4" s="42"/>
      <c r="D4" s="42"/>
      <c r="E4" s="42"/>
      <c r="F4" s="43"/>
    </row>
    <row r="5" spans="1:6" ht="30" customHeight="1">
      <c r="A5" s="7"/>
      <c r="B5" s="170" t="s">
        <v>49</v>
      </c>
      <c r="C5" s="170"/>
      <c r="D5" s="170"/>
      <c r="E5" s="170"/>
      <c r="F5" s="171"/>
    </row>
    <row r="6" spans="1:6">
      <c r="A6" s="7"/>
      <c r="B6" s="8" t="s">
        <v>50</v>
      </c>
      <c r="C6" s="9"/>
      <c r="D6" s="9"/>
      <c r="E6" s="9"/>
      <c r="F6" s="10"/>
    </row>
    <row r="7" spans="1:6">
      <c r="A7" s="11"/>
      <c r="B7"/>
      <c r="C7"/>
      <c r="D7"/>
      <c r="E7"/>
      <c r="F7" s="12"/>
    </row>
    <row r="8" spans="1:6">
      <c r="A8" s="11"/>
      <c r="B8" s="13" t="s">
        <v>6</v>
      </c>
      <c r="C8" s="14"/>
      <c r="D8" s="14"/>
      <c r="E8" s="15"/>
      <c r="F8" s="12"/>
    </row>
    <row r="9" spans="1:6">
      <c r="A9" s="16" t="s">
        <v>20</v>
      </c>
      <c r="B9" s="17" t="s">
        <v>7</v>
      </c>
      <c r="C9" s="14"/>
      <c r="D9" s="14"/>
      <c r="E9" s="15"/>
      <c r="F9" s="18"/>
    </row>
    <row r="10" spans="1:6">
      <c r="A10" s="16" t="s">
        <v>20</v>
      </c>
      <c r="B10" s="19" t="s">
        <v>8</v>
      </c>
      <c r="C10" s="14"/>
      <c r="D10" s="14"/>
      <c r="E10" s="15"/>
      <c r="F10" s="18"/>
    </row>
    <row r="11" spans="1:6">
      <c r="A11" s="16" t="s">
        <v>20</v>
      </c>
      <c r="B11" s="19" t="s">
        <v>9</v>
      </c>
      <c r="C11" s="14"/>
      <c r="D11" s="14"/>
      <c r="E11" s="15"/>
      <c r="F11" s="18"/>
    </row>
    <row r="12" spans="1:6">
      <c r="A12" s="16" t="s">
        <v>20</v>
      </c>
      <c r="B12" s="19" t="s">
        <v>10</v>
      </c>
      <c r="C12" s="14"/>
      <c r="D12" s="14"/>
      <c r="E12" s="15"/>
      <c r="F12" s="18"/>
    </row>
    <row r="13" spans="1:6">
      <c r="A13" s="16" t="s">
        <v>20</v>
      </c>
      <c r="B13" s="19" t="s">
        <v>11</v>
      </c>
      <c r="C13" s="14"/>
      <c r="D13" s="14"/>
      <c r="E13" s="15"/>
      <c r="F13" s="18"/>
    </row>
    <row r="14" spans="1:6">
      <c r="A14" s="16" t="s">
        <v>20</v>
      </c>
      <c r="B14" s="19" t="s">
        <v>12</v>
      </c>
      <c r="C14" s="14"/>
      <c r="D14" s="14"/>
      <c r="E14" s="15"/>
      <c r="F14" s="18"/>
    </row>
    <row r="15" spans="1:6">
      <c r="A15" s="16" t="s">
        <v>20</v>
      </c>
      <c r="B15" s="19" t="s">
        <v>13</v>
      </c>
      <c r="C15" s="14"/>
      <c r="D15" s="14"/>
      <c r="E15" s="15"/>
      <c r="F15" s="18"/>
    </row>
    <row r="16" spans="1:6">
      <c r="A16" s="16" t="s">
        <v>20</v>
      </c>
      <c r="B16" s="19" t="s">
        <v>14</v>
      </c>
      <c r="C16" s="14"/>
      <c r="D16" s="14"/>
      <c r="E16" s="15"/>
      <c r="F16" s="18"/>
    </row>
    <row r="17" spans="1:6">
      <c r="A17" s="16" t="s">
        <v>20</v>
      </c>
      <c r="B17" s="19" t="s">
        <v>15</v>
      </c>
      <c r="C17" s="14"/>
      <c r="D17" s="14"/>
      <c r="E17" s="15"/>
      <c r="F17" s="18"/>
    </row>
    <row r="18" spans="1:6">
      <c r="A18" s="16" t="s">
        <v>20</v>
      </c>
      <c r="B18" s="19" t="s">
        <v>16</v>
      </c>
      <c r="C18" s="14"/>
      <c r="D18" s="14"/>
      <c r="E18" s="15"/>
      <c r="F18" s="18"/>
    </row>
    <row r="19" spans="1:6">
      <c r="A19" s="16" t="s">
        <v>20</v>
      </c>
      <c r="B19" s="19" t="s">
        <v>17</v>
      </c>
      <c r="C19" s="14"/>
      <c r="D19" s="14"/>
      <c r="E19" s="15"/>
      <c r="F19" s="18"/>
    </row>
    <row r="20" spans="1:6">
      <c r="A20" s="16" t="s">
        <v>20</v>
      </c>
      <c r="B20" s="19" t="s">
        <v>18</v>
      </c>
      <c r="C20" s="14"/>
      <c r="D20" s="14"/>
      <c r="E20" s="15"/>
      <c r="F20" s="18"/>
    </row>
    <row r="21" spans="1:6">
      <c r="A21" s="16" t="s">
        <v>20</v>
      </c>
      <c r="B21" s="2" t="s">
        <v>25</v>
      </c>
      <c r="C21" s="2"/>
      <c r="D21" s="2"/>
      <c r="E21" s="2"/>
      <c r="F21" s="18"/>
    </row>
    <row r="22" spans="1:6">
      <c r="A22" s="16" t="s">
        <v>20</v>
      </c>
      <c r="B22" s="2" t="s">
        <v>22</v>
      </c>
      <c r="C22" s="2"/>
      <c r="D22" s="2"/>
      <c r="E22" s="2"/>
      <c r="F22" s="18"/>
    </row>
    <row r="23" spans="1:6" ht="15" customHeight="1">
      <c r="A23" s="16" t="s">
        <v>20</v>
      </c>
      <c r="B23" s="162" t="s">
        <v>23</v>
      </c>
      <c r="C23" s="162"/>
      <c r="D23" s="162"/>
      <c r="E23" s="162"/>
      <c r="F23" s="163"/>
    </row>
    <row r="24" spans="1:6">
      <c r="A24" s="16" t="s">
        <v>20</v>
      </c>
      <c r="B24" s="2" t="s">
        <v>24</v>
      </c>
      <c r="C24" s="2"/>
      <c r="D24" s="2"/>
      <c r="E24" s="2"/>
      <c r="F24" s="18"/>
    </row>
    <row r="25" spans="1:6">
      <c r="A25" s="16" t="s">
        <v>20</v>
      </c>
      <c r="B25" s="2" t="s">
        <v>26</v>
      </c>
      <c r="C25" s="2"/>
      <c r="D25" s="2"/>
      <c r="E25" s="2"/>
      <c r="F25" s="18"/>
    </row>
    <row r="26" spans="1:6">
      <c r="A26" s="16" t="s">
        <v>20</v>
      </c>
      <c r="B26" s="2" t="s">
        <v>28</v>
      </c>
      <c r="C26" s="2"/>
      <c r="D26" s="2"/>
      <c r="E26" s="2"/>
      <c r="F26" s="18"/>
    </row>
    <row r="27" spans="1:6">
      <c r="A27" s="16" t="s">
        <v>20</v>
      </c>
      <c r="B27" s="2" t="s">
        <v>27</v>
      </c>
      <c r="C27" s="2"/>
      <c r="D27" s="2"/>
      <c r="E27" s="2"/>
      <c r="F27" s="18"/>
    </row>
    <row r="28" spans="1:6" ht="39.75" customHeight="1">
      <c r="A28" s="16" t="s">
        <v>20</v>
      </c>
      <c r="B28" s="162" t="s">
        <v>29</v>
      </c>
      <c r="C28" s="162"/>
      <c r="D28" s="162"/>
      <c r="E28" s="162"/>
      <c r="F28" s="163"/>
    </row>
    <row r="29" spans="1:6" ht="27.75" customHeight="1">
      <c r="A29" s="16" t="s">
        <v>20</v>
      </c>
      <c r="B29" s="162" t="s">
        <v>30</v>
      </c>
      <c r="C29" s="162"/>
      <c r="D29" s="162"/>
      <c r="E29" s="162"/>
      <c r="F29" s="163"/>
    </row>
    <row r="30" spans="1:6">
      <c r="A30" s="16" t="s">
        <v>20</v>
      </c>
      <c r="B30" s="2" t="s">
        <v>31</v>
      </c>
      <c r="C30" s="2"/>
      <c r="D30" s="2"/>
      <c r="E30" s="2"/>
      <c r="F30" s="18"/>
    </row>
    <row r="31" spans="1:6">
      <c r="A31" s="16" t="s">
        <v>20</v>
      </c>
      <c r="B31" s="2" t="s">
        <v>32</v>
      </c>
      <c r="C31" s="2"/>
      <c r="D31" s="2"/>
      <c r="E31" s="2"/>
      <c r="F31" s="18"/>
    </row>
    <row r="32" spans="1:6">
      <c r="A32" s="16" t="s">
        <v>20</v>
      </c>
      <c r="B32" s="2" t="s">
        <v>33</v>
      </c>
      <c r="C32" s="2"/>
      <c r="D32" s="2"/>
      <c r="E32" s="2"/>
      <c r="F32" s="18"/>
    </row>
    <row r="33" spans="1:6">
      <c r="A33" s="16" t="s">
        <v>20</v>
      </c>
      <c r="B33" s="2" t="s">
        <v>34</v>
      </c>
      <c r="C33" s="2"/>
      <c r="D33" s="2"/>
      <c r="E33" s="2"/>
      <c r="F33" s="18"/>
    </row>
    <row r="34" spans="1:6" ht="30" customHeight="1">
      <c r="A34" s="16" t="s">
        <v>20</v>
      </c>
      <c r="B34" s="162" t="s">
        <v>35</v>
      </c>
      <c r="C34" s="162"/>
      <c r="D34" s="162"/>
      <c r="E34" s="162"/>
      <c r="F34" s="163"/>
    </row>
    <row r="35" spans="1:6" ht="53.25" customHeight="1">
      <c r="A35" s="16" t="s">
        <v>20</v>
      </c>
      <c r="B35" s="162" t="s">
        <v>36</v>
      </c>
      <c r="C35" s="162"/>
      <c r="D35" s="162"/>
      <c r="E35" s="162"/>
      <c r="F35" s="163"/>
    </row>
    <row r="36" spans="1:6">
      <c r="A36" s="16" t="s">
        <v>20</v>
      </c>
      <c r="B36" s="2" t="s">
        <v>37</v>
      </c>
      <c r="C36" s="2"/>
      <c r="D36" s="2"/>
      <c r="E36" s="2"/>
      <c r="F36" s="18"/>
    </row>
    <row r="37" spans="1:6" ht="29.25" customHeight="1">
      <c r="A37" s="16" t="s">
        <v>20</v>
      </c>
      <c r="B37" s="162" t="s">
        <v>38</v>
      </c>
      <c r="C37" s="162"/>
      <c r="D37" s="162"/>
      <c r="E37" s="162"/>
      <c r="F37" s="163"/>
    </row>
    <row r="38" spans="1:6" ht="29.25" customHeight="1">
      <c r="A38" s="16" t="s">
        <v>20</v>
      </c>
      <c r="B38" s="162" t="s">
        <v>39</v>
      </c>
      <c r="C38" s="162"/>
      <c r="D38" s="162"/>
      <c r="E38" s="162"/>
      <c r="F38" s="163"/>
    </row>
    <row r="39" spans="1:6">
      <c r="A39" s="20"/>
      <c r="B39" s="21"/>
      <c r="C39" s="21"/>
      <c r="D39" s="21"/>
      <c r="E39" s="21"/>
      <c r="F39" s="22"/>
    </row>
  </sheetData>
  <mergeCells count="9">
    <mergeCell ref="B38:F38"/>
    <mergeCell ref="A1:F2"/>
    <mergeCell ref="B23:F23"/>
    <mergeCell ref="B28:F28"/>
    <mergeCell ref="B29:F29"/>
    <mergeCell ref="B34:F34"/>
    <mergeCell ref="B35:F35"/>
    <mergeCell ref="B37:F37"/>
    <mergeCell ref="B5:F5"/>
  </mergeCells>
  <pageMargins left="0.7" right="0.7" top="0.75" bottom="0.75" header="0.3" footer="0.3"/>
  <pageSetup paperSize="9" orientation="portrait" horizontalDpi="4294967293" r:id="rId1"/>
  <headerFooter>
    <oddFooter>&amp;R&amp;N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A94FA-CF2E-4D6B-AA09-F9E391363391}">
  <dimension ref="A1:I248"/>
  <sheetViews>
    <sheetView tabSelected="1" topLeftCell="A190" zoomScaleNormal="100" zoomScaleSheetLayoutView="115" workbookViewId="0">
      <selection activeCell="B198" sqref="B198"/>
    </sheetView>
  </sheetViews>
  <sheetFormatPr defaultRowHeight="15"/>
  <cols>
    <col min="1" max="1" width="9" style="44" customWidth="1"/>
    <col min="2" max="2" width="52.140625" customWidth="1"/>
    <col min="3" max="3" width="8.5703125" customWidth="1"/>
    <col min="4" max="4" width="9.7109375" customWidth="1"/>
    <col min="5" max="5" width="12" customWidth="1"/>
    <col min="6" max="6" width="14.5703125" customWidth="1"/>
    <col min="8" max="8" width="18.5703125" customWidth="1"/>
    <col min="9" max="9" width="27.28515625" customWidth="1"/>
  </cols>
  <sheetData>
    <row r="1" spans="1:6" ht="15.75" thickBot="1">
      <c r="A1" s="110" t="s">
        <v>0</v>
      </c>
      <c r="B1" s="111" t="s">
        <v>52</v>
      </c>
      <c r="C1" s="112" t="s">
        <v>53</v>
      </c>
      <c r="D1" s="113" t="s">
        <v>3</v>
      </c>
      <c r="E1" s="114" t="s">
        <v>54</v>
      </c>
      <c r="F1" s="113" t="s">
        <v>4</v>
      </c>
    </row>
    <row r="2" spans="1:6" ht="39" customHeight="1">
      <c r="A2" s="88"/>
      <c r="B2" s="115" t="s">
        <v>444</v>
      </c>
      <c r="C2" s="116"/>
      <c r="D2" s="117"/>
      <c r="E2" s="91"/>
      <c r="F2" s="118"/>
    </row>
    <row r="3" spans="1:6">
      <c r="A3" s="103" t="s">
        <v>55</v>
      </c>
      <c r="B3" s="104" t="s">
        <v>42</v>
      </c>
      <c r="C3" s="105"/>
      <c r="D3" s="106"/>
      <c r="E3" s="123"/>
      <c r="F3" s="108">
        <f>SUM(F4:F29)</f>
        <v>0</v>
      </c>
    </row>
    <row r="4" spans="1:6" ht="25.5">
      <c r="A4" s="70" t="s">
        <v>56</v>
      </c>
      <c r="B4" s="55" t="s">
        <v>77</v>
      </c>
      <c r="C4" s="56" t="s">
        <v>47</v>
      </c>
      <c r="D4" s="57">
        <v>1</v>
      </c>
      <c r="E4" s="71"/>
      <c r="F4" s="59" t="str">
        <f>IF(Tabela1[[#This Row],[Cena/Em]]&lt;&gt;0,(IFERROR(ROUND(SUM(Tabela1[[#This Row],[Količina]]*Tabela1[[#This Row],[Cena/Em]]),2),"")),"Preveri vnos cene")</f>
        <v>Preveri vnos cene</v>
      </c>
    </row>
    <row r="5" spans="1:6" ht="25.5">
      <c r="A5" s="70" t="s">
        <v>57</v>
      </c>
      <c r="B5" s="55" t="s">
        <v>78</v>
      </c>
      <c r="C5" s="56" t="s">
        <v>45</v>
      </c>
      <c r="D5" s="57">
        <v>7</v>
      </c>
      <c r="E5" s="58"/>
      <c r="F5" s="59" t="str">
        <f>IF(Tabela1[[#This Row],[Cena/Em]]&lt;&gt;0,(IFERROR(ROUND(SUM(Tabela1[[#This Row],[Količina]]*Tabela1[[#This Row],[Cena/Em]]),2),"")),"Preveri vnos cene")</f>
        <v>Preveri vnos cene</v>
      </c>
    </row>
    <row r="6" spans="1:6" ht="25.5">
      <c r="A6" s="70" t="s">
        <v>58</v>
      </c>
      <c r="B6" s="55" t="s">
        <v>79</v>
      </c>
      <c r="C6" s="56" t="s">
        <v>45</v>
      </c>
      <c r="D6" s="57">
        <v>6</v>
      </c>
      <c r="E6" s="58"/>
      <c r="F6" s="59" t="str">
        <f>IF(Tabela1[[#This Row],[Cena/Em]]&lt;&gt;0,(IFERROR(ROUND(SUM(Tabela1[[#This Row],[Količina]]*Tabela1[[#This Row],[Cena/Em]]),2),"")),"Preveri vnos cene")</f>
        <v>Preveri vnos cene</v>
      </c>
    </row>
    <row r="7" spans="1:6" ht="16.5" customHeight="1">
      <c r="A7" s="70" t="s">
        <v>59</v>
      </c>
      <c r="B7" s="55" t="s">
        <v>261</v>
      </c>
      <c r="C7" s="56" t="s">
        <v>48</v>
      </c>
      <c r="D7" s="57">
        <v>32</v>
      </c>
      <c r="E7" s="58"/>
      <c r="F7" s="59" t="str">
        <f>IF(Tabela1[[#This Row],[Cena/Em]]&lt;&gt;0,(IFERROR(ROUND(SUM(Tabela1[[#This Row],[Količina]]*Tabela1[[#This Row],[Cena/Em]]),2),"")),"Preveri vnos cene")</f>
        <v>Preveri vnos cene</v>
      </c>
    </row>
    <row r="8" spans="1:6" ht="63.75">
      <c r="A8" s="70" t="s">
        <v>60</v>
      </c>
      <c r="B8" s="55" t="s">
        <v>403</v>
      </c>
      <c r="C8" s="60" t="s">
        <v>43</v>
      </c>
      <c r="D8" s="57">
        <v>50</v>
      </c>
      <c r="E8" s="58"/>
      <c r="F8" s="59" t="str">
        <f>IF(Tabela1[[#This Row],[Cena/Em]]&lt;&gt;0,(IFERROR(ROUND(SUM(Tabela1[[#This Row],[Količina]]*Tabela1[[#This Row],[Cena/Em]]),2),"")),"Preveri vnos cene")</f>
        <v>Preveri vnos cene</v>
      </c>
    </row>
    <row r="9" spans="1:6" ht="25.5">
      <c r="A9" s="70" t="s">
        <v>61</v>
      </c>
      <c r="B9" s="61" t="s">
        <v>84</v>
      </c>
      <c r="C9" s="60" t="s">
        <v>44</v>
      </c>
      <c r="D9" s="62">
        <v>221</v>
      </c>
      <c r="E9" s="58"/>
      <c r="F9" s="59" t="str">
        <f>IF(Tabela1[[#This Row],[Cena/Em]]&lt;&gt;0,(IFERROR(ROUND(SUM(Tabela1[[#This Row],[Količina]]*Tabela1[[#This Row],[Cena/Em]]),2),"")),"Preveri vnos cene")</f>
        <v>Preveri vnos cene</v>
      </c>
    </row>
    <row r="10" spans="1:6" ht="25.5">
      <c r="A10" s="70" t="s">
        <v>62</v>
      </c>
      <c r="B10" s="61" t="s">
        <v>151</v>
      </c>
      <c r="C10" s="56" t="s">
        <v>44</v>
      </c>
      <c r="D10" s="62">
        <v>38.5</v>
      </c>
      <c r="E10" s="58"/>
      <c r="F10" s="59" t="str">
        <f>IF(Tabela1[[#This Row],[Cena/Em]]&lt;&gt;0,(IFERROR(ROUND(SUM(Tabela1[[#This Row],[Količina]]*Tabela1[[#This Row],[Cena/Em]]),2),"")),"Preveri vnos cene")</f>
        <v>Preveri vnos cene</v>
      </c>
    </row>
    <row r="11" spans="1:6" ht="25.5">
      <c r="A11" s="70" t="s">
        <v>63</v>
      </c>
      <c r="B11" s="61" t="s">
        <v>85</v>
      </c>
      <c r="C11" s="56" t="s">
        <v>44</v>
      </c>
      <c r="D11" s="62">
        <v>214.7</v>
      </c>
      <c r="E11" s="58"/>
      <c r="F11" s="59" t="str">
        <f>IF(Tabela1[[#This Row],[Cena/Em]]&lt;&gt;0,(IFERROR(ROUND(SUM(Tabela1[[#This Row],[Količina]]*Tabela1[[#This Row],[Cena/Em]]),2),"")),"Preveri vnos cene")</f>
        <v>Preveri vnos cene</v>
      </c>
    </row>
    <row r="12" spans="1:6" ht="29.25" customHeight="1">
      <c r="A12" s="70" t="s">
        <v>64</v>
      </c>
      <c r="B12" s="61" t="s">
        <v>86</v>
      </c>
      <c r="C12" s="56" t="s">
        <v>44</v>
      </c>
      <c r="D12" s="62">
        <v>266.8</v>
      </c>
      <c r="E12" s="58"/>
      <c r="F12" s="59" t="str">
        <f>IF(Tabela1[[#This Row],[Cena/Em]]&lt;&gt;0,(IFERROR(ROUND(SUM(Tabela1[[#This Row],[Količina]]*Tabela1[[#This Row],[Cena/Em]]),2),"")),"Preveri vnos cene")</f>
        <v>Preveri vnos cene</v>
      </c>
    </row>
    <row r="13" spans="1:6" ht="38.25">
      <c r="A13" s="70" t="s">
        <v>65</v>
      </c>
      <c r="B13" s="61" t="s">
        <v>87</v>
      </c>
      <c r="C13" s="56" t="s">
        <v>44</v>
      </c>
      <c r="D13" s="62">
        <v>481.5</v>
      </c>
      <c r="E13" s="58"/>
      <c r="F13" s="59" t="str">
        <f>IF(Tabela1[[#This Row],[Cena/Em]]&lt;&gt;0,(IFERROR(ROUND(SUM(Tabela1[[#This Row],[Količina]]*Tabela1[[#This Row],[Cena/Em]]),2),"")),"Preveri vnos cene")</f>
        <v>Preveri vnos cene</v>
      </c>
    </row>
    <row r="14" spans="1:6" ht="38.25">
      <c r="A14" s="70" t="s">
        <v>66</v>
      </c>
      <c r="B14" s="61" t="s">
        <v>88</v>
      </c>
      <c r="C14" s="56" t="s">
        <v>44</v>
      </c>
      <c r="D14" s="62">
        <v>214</v>
      </c>
      <c r="E14" s="58"/>
      <c r="F14" s="59" t="str">
        <f>IF(Tabela1[[#This Row],[Cena/Em]]&lt;&gt;0,(IFERROR(ROUND(SUM(Tabela1[[#This Row],[Količina]]*Tabela1[[#This Row],[Cena/Em]]),2),"")),"Preveri vnos cene")</f>
        <v>Preveri vnos cene</v>
      </c>
    </row>
    <row r="15" spans="1:6" ht="16.5" customHeight="1">
      <c r="A15" s="70" t="s">
        <v>67</v>
      </c>
      <c r="B15" s="61" t="s">
        <v>89</v>
      </c>
      <c r="C15" s="56" t="s">
        <v>45</v>
      </c>
      <c r="D15" s="62">
        <v>11</v>
      </c>
      <c r="E15" s="58"/>
      <c r="F15" s="59" t="str">
        <f>IF(Tabela1[[#This Row],[Cena/Em]]&lt;&gt;0,(IFERROR(ROUND(SUM(Tabela1[[#This Row],[Količina]]*Tabela1[[#This Row],[Cena/Em]]),2),"")),"Preveri vnos cene")</f>
        <v>Preveri vnos cene</v>
      </c>
    </row>
    <row r="16" spans="1:6" ht="25.5">
      <c r="A16" s="70" t="s">
        <v>68</v>
      </c>
      <c r="B16" s="61" t="s">
        <v>90</v>
      </c>
      <c r="C16" s="56" t="s">
        <v>44</v>
      </c>
      <c r="D16" s="62">
        <v>361</v>
      </c>
      <c r="E16" s="58"/>
      <c r="F16" s="59" t="str">
        <f>IF(Tabela1[[#This Row],[Cena/Em]]&lt;&gt;0,(IFERROR(ROUND(SUM(Tabela1[[#This Row],[Količina]]*Tabela1[[#This Row],[Cena/Em]]),2),"")),"Preveri vnos cene")</f>
        <v>Preveri vnos cene</v>
      </c>
    </row>
    <row r="17" spans="1:6" ht="25.5">
      <c r="A17" s="70" t="s">
        <v>69</v>
      </c>
      <c r="B17" s="61" t="s">
        <v>91</v>
      </c>
      <c r="C17" s="56" t="s">
        <v>44</v>
      </c>
      <c r="D17" s="62">
        <v>146.19999999999999</v>
      </c>
      <c r="E17" s="58"/>
      <c r="F17" s="59" t="str">
        <f>IF(Tabela1[[#This Row],[Cena/Em]]&lt;&gt;0,(IFERROR(ROUND(SUM(Tabela1[[#This Row],[Količina]]*Tabela1[[#This Row],[Cena/Em]]),2),"")),"Preveri vnos cene")</f>
        <v>Preveri vnos cene</v>
      </c>
    </row>
    <row r="18" spans="1:6" ht="51">
      <c r="A18" s="70" t="s">
        <v>70</v>
      </c>
      <c r="B18" s="61" t="s">
        <v>92</v>
      </c>
      <c r="C18" s="56" t="s">
        <v>47</v>
      </c>
      <c r="D18" s="57">
        <v>1</v>
      </c>
      <c r="E18" s="58"/>
      <c r="F18" s="59" t="str">
        <f>IF(Tabela1[[#This Row],[Cena/Em]]&lt;&gt;0,(IFERROR(ROUND(SUM(Tabela1[[#This Row],[Količina]]*Tabela1[[#This Row],[Cena/Em]]),2),"")),"Preveri vnos cene")</f>
        <v>Preveri vnos cene</v>
      </c>
    </row>
    <row r="19" spans="1:6" ht="16.5" customHeight="1">
      <c r="A19" s="70" t="s">
        <v>71</v>
      </c>
      <c r="B19" s="61" t="s">
        <v>93</v>
      </c>
      <c r="C19" s="60" t="s">
        <v>44</v>
      </c>
      <c r="D19" s="57">
        <v>79.400000000000006</v>
      </c>
      <c r="E19" s="58"/>
      <c r="F19" s="59" t="str">
        <f>IF(Tabela1[[#This Row],[Cena/Em]]&lt;&gt;0,(IFERROR(ROUND(SUM(Tabela1[[#This Row],[Količina]]*Tabela1[[#This Row],[Cena/Em]]),2),"")),"Preveri vnos cene")</f>
        <v>Preveri vnos cene</v>
      </c>
    </row>
    <row r="20" spans="1:6" ht="25.5">
      <c r="A20" s="70" t="s">
        <v>72</v>
      </c>
      <c r="B20" s="61" t="s">
        <v>94</v>
      </c>
      <c r="C20" s="56" t="s">
        <v>44</v>
      </c>
      <c r="D20" s="57">
        <v>79.400000000000006</v>
      </c>
      <c r="E20" s="58"/>
      <c r="F20" s="59" t="str">
        <f>IF(Tabela1[[#This Row],[Cena/Em]]&lt;&gt;0,(IFERROR(ROUND(SUM(Tabela1[[#This Row],[Količina]]*Tabela1[[#This Row],[Cena/Em]]),2),"")),"Preveri vnos cene")</f>
        <v>Preveri vnos cene</v>
      </c>
    </row>
    <row r="21" spans="1:6" ht="51">
      <c r="A21" s="70" t="s">
        <v>73</v>
      </c>
      <c r="B21" s="55" t="s">
        <v>95</v>
      </c>
      <c r="C21" s="56" t="s">
        <v>44</v>
      </c>
      <c r="D21" s="57">
        <v>79.400000000000006</v>
      </c>
      <c r="E21" s="58"/>
      <c r="F21" s="59" t="str">
        <f>IF(Tabela1[[#This Row],[Cena/Em]]&lt;&gt;0,(IFERROR(ROUND(SUM(Tabela1[[#This Row],[Količina]]*Tabela1[[#This Row],[Cena/Em]]),2),"")),"Preveri vnos cene")</f>
        <v>Preveri vnos cene</v>
      </c>
    </row>
    <row r="22" spans="1:6" ht="80.25" customHeight="1">
      <c r="A22" s="70" t="s">
        <v>74</v>
      </c>
      <c r="B22" s="55" t="s">
        <v>96</v>
      </c>
      <c r="C22" s="56" t="s">
        <v>44</v>
      </c>
      <c r="D22" s="57">
        <v>79.400000000000006</v>
      </c>
      <c r="E22" s="58"/>
      <c r="F22" s="59" t="str">
        <f>IF(Tabela1[[#This Row],[Cena/Em]]&lt;&gt;0,(IFERROR(ROUND(SUM(Tabela1[[#This Row],[Količina]]*Tabela1[[#This Row],[Cena/Em]]),2),"")),"Preveri vnos cene")</f>
        <v>Preveri vnos cene</v>
      </c>
    </row>
    <row r="23" spans="1:6" ht="25.5" customHeight="1">
      <c r="A23" s="70" t="s">
        <v>75</v>
      </c>
      <c r="B23" s="55" t="s">
        <v>139</v>
      </c>
      <c r="C23" s="56" t="s">
        <v>48</v>
      </c>
      <c r="D23" s="57">
        <v>8</v>
      </c>
      <c r="E23" s="58"/>
      <c r="F23" s="59" t="str">
        <f>IF(Tabela1[[#This Row],[Cena/Em]]&lt;&gt;0,(IFERROR(ROUND(SUM(Tabela1[[#This Row],[Količina]]*Tabela1[[#This Row],[Cena/Em]]),2),"")),"Preveri vnos cene")</f>
        <v>Preveri vnos cene</v>
      </c>
    </row>
    <row r="24" spans="1:6" ht="25.5">
      <c r="A24" s="70" t="s">
        <v>76</v>
      </c>
      <c r="B24" s="61" t="s">
        <v>97</v>
      </c>
      <c r="C24" s="63" t="s">
        <v>48</v>
      </c>
      <c r="D24" s="64">
        <v>60</v>
      </c>
      <c r="E24" s="65"/>
      <c r="F24" s="66" t="str">
        <f>IF(Tabela1[[#This Row],[Cena/Em]]&lt;&gt;0,(IFERROR(ROUND(SUM(Tabela1[[#This Row],[Količina]]*Tabela1[[#This Row],[Cena/Em]]),2),"")),"Preveri vnos cene")</f>
        <v>Preveri vnos cene</v>
      </c>
    </row>
    <row r="25" spans="1:6" ht="25.5">
      <c r="A25" s="70" t="s">
        <v>80</v>
      </c>
      <c r="B25" s="61" t="s">
        <v>98</v>
      </c>
      <c r="C25" s="63" t="s">
        <v>48</v>
      </c>
      <c r="D25" s="64">
        <v>60</v>
      </c>
      <c r="E25" s="65"/>
      <c r="F25" s="66" t="str">
        <f>IF(Tabela1[[#This Row],[Cena/Em]]&lt;&gt;0,(IFERROR(ROUND(SUM(Tabela1[[#This Row],[Količina]]*Tabela1[[#This Row],[Cena/Em]]),2),"")),"Preveri vnos cene")</f>
        <v>Preveri vnos cene</v>
      </c>
    </row>
    <row r="26" spans="1:6" ht="25.5">
      <c r="A26" s="70" t="s">
        <v>81</v>
      </c>
      <c r="B26" s="61" t="s">
        <v>99</v>
      </c>
      <c r="C26" s="63" t="s">
        <v>48</v>
      </c>
      <c r="D26" s="64">
        <v>40</v>
      </c>
      <c r="E26" s="65"/>
      <c r="F26" s="66" t="str">
        <f>IF(Tabela1[[#This Row],[Cena/Em]]&lt;&gt;0,(IFERROR(ROUND(SUM(Tabela1[[#This Row],[Količina]]*Tabela1[[#This Row],[Cena/Em]]),2),"")),"Preveri vnos cene")</f>
        <v>Preveri vnos cene</v>
      </c>
    </row>
    <row r="27" spans="1:6" ht="25.5">
      <c r="A27" s="70" t="s">
        <v>82</v>
      </c>
      <c r="B27" s="61" t="s">
        <v>100</v>
      </c>
      <c r="C27" s="63" t="s">
        <v>44</v>
      </c>
      <c r="D27" s="64">
        <v>177</v>
      </c>
      <c r="E27" s="65"/>
      <c r="F27" s="66" t="str">
        <f>IF(Tabela1[[#This Row],[Cena/Em]]&lt;&gt;0,(IFERROR(ROUND(SUM(Tabela1[[#This Row],[Količina]]*Tabela1[[#This Row],[Cena/Em]]),2),"")),"Preveri vnos cene")</f>
        <v>Preveri vnos cene</v>
      </c>
    </row>
    <row r="28" spans="1:6" ht="63.75">
      <c r="A28" s="70" t="s">
        <v>83</v>
      </c>
      <c r="B28" s="55" t="s">
        <v>424</v>
      </c>
      <c r="C28" s="56" t="s">
        <v>44</v>
      </c>
      <c r="D28" s="57">
        <v>321</v>
      </c>
      <c r="E28" s="58"/>
      <c r="F28" s="59" t="str">
        <f>IF(Tabela1[[#This Row],[Cena/Em]]&lt;&gt;0,(IFERROR(ROUND(SUM(Tabela1[[#This Row],[Količina]]*Tabela1[[#This Row],[Cena/Em]]),2),"")),"Preveri vnos cene")</f>
        <v>Preveri vnos cene</v>
      </c>
    </row>
    <row r="29" spans="1:6" ht="7.5" customHeight="1">
      <c r="A29" s="70"/>
      <c r="B29" s="55"/>
      <c r="C29" s="56"/>
      <c r="D29" s="57"/>
      <c r="E29" s="58"/>
      <c r="F29" s="59"/>
    </row>
    <row r="30" spans="1:6">
      <c r="A30" s="68" t="s">
        <v>101</v>
      </c>
      <c r="B30" s="45" t="s">
        <v>255</v>
      </c>
      <c r="C30" s="46"/>
      <c r="D30" s="47"/>
      <c r="E30" s="48"/>
      <c r="F30" s="49">
        <f>SUM(F31,F42,F51,F57,)</f>
        <v>0</v>
      </c>
    </row>
    <row r="31" spans="1:6">
      <c r="A31" s="69" t="s">
        <v>104</v>
      </c>
      <c r="B31" s="50" t="s">
        <v>113</v>
      </c>
      <c r="C31" s="51"/>
      <c r="D31" s="52"/>
      <c r="E31" s="53"/>
      <c r="F31" s="54">
        <f>SUMIF(A32:A5356,"=B.I.*",F32:F5356)</f>
        <v>0</v>
      </c>
    </row>
    <row r="32" spans="1:6" ht="51">
      <c r="A32" s="70" t="s">
        <v>103</v>
      </c>
      <c r="B32" s="61" t="s">
        <v>114</v>
      </c>
      <c r="C32" s="63" t="s">
        <v>44</v>
      </c>
      <c r="D32" s="64">
        <v>38.5</v>
      </c>
      <c r="E32" s="65"/>
      <c r="F32" s="66" t="str">
        <f>IF(Tabela1[[#This Row],[Cena/Em]]&lt;&gt;0,(IFERROR(ROUND(SUM(Tabela1[[#This Row],[Količina]]*Tabela1[[#This Row],[Cena/Em]]),2),"")),"Preveri vnos cene")</f>
        <v>Preveri vnos cene</v>
      </c>
    </row>
    <row r="33" spans="1:6" ht="25.5">
      <c r="A33" s="70" t="s">
        <v>105</v>
      </c>
      <c r="B33" s="61" t="s">
        <v>116</v>
      </c>
      <c r="C33" s="63" t="s">
        <v>44</v>
      </c>
      <c r="D33" s="64">
        <v>42</v>
      </c>
      <c r="E33" s="65"/>
      <c r="F33" s="66" t="str">
        <f>IF(Tabela1[[#This Row],[Cena/Em]]&lt;&gt;0,(IFERROR(ROUND(SUM(Tabela1[[#This Row],[Količina]]*Tabela1[[#This Row],[Cena/Em]]),2),"")),"Preveri vnos cene")</f>
        <v>Preveri vnos cene</v>
      </c>
    </row>
    <row r="34" spans="1:6" ht="25.5">
      <c r="A34" s="70" t="s">
        <v>106</v>
      </c>
      <c r="B34" s="61" t="s">
        <v>115</v>
      </c>
      <c r="C34" s="56" t="s">
        <v>44</v>
      </c>
      <c r="D34" s="64">
        <v>42</v>
      </c>
      <c r="E34" s="65"/>
      <c r="F34" s="66" t="str">
        <f>IF(Tabela1[[#This Row],[Cena/Em]]&lt;&gt;0,(IFERROR(ROUND(SUM(Tabela1[[#This Row],[Količina]]*Tabela1[[#This Row],[Cena/Em]]),2),"")),"Preveri vnos cene")</f>
        <v>Preveri vnos cene</v>
      </c>
    </row>
    <row r="35" spans="1:6" ht="25.5">
      <c r="A35" s="70" t="s">
        <v>107</v>
      </c>
      <c r="B35" s="61" t="s">
        <v>117</v>
      </c>
      <c r="C35" s="56" t="s">
        <v>44</v>
      </c>
      <c r="D35" s="64">
        <v>42</v>
      </c>
      <c r="E35" s="65"/>
      <c r="F35" s="66" t="str">
        <f>IF(Tabela1[[#This Row],[Cena/Em]]&lt;&gt;0,(IFERROR(ROUND(SUM(Tabela1[[#This Row],[Količina]]*Tabela1[[#This Row],[Cena/Em]]),2),"")),"Preveri vnos cene")</f>
        <v>Preveri vnos cene</v>
      </c>
    </row>
    <row r="36" spans="1:6" ht="38.25">
      <c r="A36" s="70" t="s">
        <v>108</v>
      </c>
      <c r="B36" s="61" t="s">
        <v>121</v>
      </c>
      <c r="C36" s="63" t="s">
        <v>1</v>
      </c>
      <c r="D36" s="64">
        <v>11</v>
      </c>
      <c r="E36" s="65"/>
      <c r="F36" s="66" t="str">
        <f>IF(Tabela1[[#This Row],[Cena/Em]]&lt;&gt;0,(IFERROR(ROUND(SUM(Tabela1[[#This Row],[Količina]]*Tabela1[[#This Row],[Cena/Em]]),2),"")),"Preveri vnos cene")</f>
        <v>Preveri vnos cene</v>
      </c>
    </row>
    <row r="37" spans="1:6" ht="25.5">
      <c r="A37" s="70" t="s">
        <v>109</v>
      </c>
      <c r="B37" s="61" t="s">
        <v>118</v>
      </c>
      <c r="C37" s="63" t="s">
        <v>1</v>
      </c>
      <c r="D37" s="64">
        <v>4</v>
      </c>
      <c r="E37" s="65"/>
      <c r="F37" s="66" t="str">
        <f>IF(Tabela1[[#This Row],[Cena/Em]]&lt;&gt;0,(IFERROR(ROUND(SUM(Tabela1[[#This Row],[Količina]]*Tabela1[[#This Row],[Cena/Em]]),2),"")),"Preveri vnos cene")</f>
        <v>Preveri vnos cene</v>
      </c>
    </row>
    <row r="38" spans="1:6" ht="25.5">
      <c r="A38" s="70" t="s">
        <v>110</v>
      </c>
      <c r="B38" s="61" t="s">
        <v>119</v>
      </c>
      <c r="C38" s="63" t="s">
        <v>45</v>
      </c>
      <c r="D38" s="64">
        <v>1</v>
      </c>
      <c r="E38" s="65"/>
      <c r="F38" s="66" t="str">
        <f>IF(Tabela1[[#This Row],[Cena/Em]]&lt;&gt;0,(IFERROR(ROUND(SUM(Tabela1[[#This Row],[Količina]]*Tabela1[[#This Row],[Cena/Em]]),2),"")),"Preveri vnos cene")</f>
        <v>Preveri vnos cene</v>
      </c>
    </row>
    <row r="39" spans="1:6" ht="42.75" customHeight="1">
      <c r="A39" s="70" t="s">
        <v>111</v>
      </c>
      <c r="B39" s="61" t="s">
        <v>120</v>
      </c>
      <c r="C39" s="63" t="s">
        <v>44</v>
      </c>
      <c r="D39" s="64">
        <v>100.7</v>
      </c>
      <c r="E39" s="65"/>
      <c r="F39" s="66" t="str">
        <f>IF(Tabela1[[#This Row],[Cena/Em]]&lt;&gt;0,(IFERROR(ROUND(SUM(Tabela1[[#This Row],[Količina]]*Tabela1[[#This Row],[Cena/Em]]),2),"")),"Preveri vnos cene")</f>
        <v>Preveri vnos cene</v>
      </c>
    </row>
    <row r="40" spans="1:6" ht="38.25">
      <c r="A40" s="70" t="s">
        <v>112</v>
      </c>
      <c r="B40" s="61" t="s">
        <v>421</v>
      </c>
      <c r="C40" s="60" t="s">
        <v>45</v>
      </c>
      <c r="D40" s="66">
        <v>5</v>
      </c>
      <c r="E40" s="65"/>
      <c r="F40" s="66" t="str">
        <f>IF(Tabela1[[#This Row],[Cena/Em]]&lt;&gt;0,(IFERROR(ROUND(SUM(Tabela1[[#This Row],[Količina]]*Tabela1[[#This Row],[Cena/Em]]),2),"")),"Preveri vnos cene")</f>
        <v>Preveri vnos cene</v>
      </c>
    </row>
    <row r="41" spans="1:6" ht="38.25">
      <c r="A41" s="70" t="s">
        <v>404</v>
      </c>
      <c r="B41" s="61" t="s">
        <v>420</v>
      </c>
      <c r="C41" s="63" t="s">
        <v>45</v>
      </c>
      <c r="D41" s="66">
        <v>20</v>
      </c>
      <c r="E41" s="65"/>
      <c r="F41" s="66" t="str">
        <f>IF(Tabela1[[#This Row],[Cena/Em]]&lt;&gt;0,(IFERROR(ROUND(SUM(Tabela1[[#This Row],[Količina]]*Tabela1[[#This Row],[Cena/Em]]),2),"")),"Preveri vnos cene")</f>
        <v>Preveri vnos cene</v>
      </c>
    </row>
    <row r="42" spans="1:6">
      <c r="A42" s="69" t="s">
        <v>122</v>
      </c>
      <c r="B42" s="50" t="s">
        <v>129</v>
      </c>
      <c r="C42" s="51"/>
      <c r="D42" s="52"/>
      <c r="E42" s="53"/>
      <c r="F42" s="54">
        <f>SUMIF(A43:A5362,"=B.II.*",F43:F5362)</f>
        <v>0</v>
      </c>
    </row>
    <row r="43" spans="1:6" ht="89.25">
      <c r="A43" s="70" t="s">
        <v>123</v>
      </c>
      <c r="B43" s="61" t="s">
        <v>435</v>
      </c>
      <c r="C43" s="63" t="s">
        <v>45</v>
      </c>
      <c r="D43" s="64">
        <v>1</v>
      </c>
      <c r="E43" s="65"/>
      <c r="F43" s="66" t="str">
        <f>IF(Tabela1[[#This Row],[Cena/Em]]&lt;&gt;0,(IFERROR(ROUND(SUM(Tabela1[[#This Row],[Količina]]*Tabela1[[#This Row],[Cena/Em]]),2),"")),"Preveri vnos cene")</f>
        <v>Preveri vnos cene</v>
      </c>
    </row>
    <row r="44" spans="1:6" ht="51">
      <c r="A44" s="70" t="s">
        <v>124</v>
      </c>
      <c r="B44" s="61" t="s">
        <v>131</v>
      </c>
      <c r="C44" s="63" t="s">
        <v>45</v>
      </c>
      <c r="D44" s="64">
        <v>1</v>
      </c>
      <c r="E44" s="65"/>
      <c r="F44" s="66" t="str">
        <f>IF(Tabela1[[#This Row],[Cena/Em]]&lt;&gt;0,(IFERROR(ROUND(SUM(Tabela1[[#This Row],[Količina]]*Tabela1[[#This Row],[Cena/Em]]),2),"")),"Preveri vnos cene")</f>
        <v>Preveri vnos cene</v>
      </c>
    </row>
    <row r="45" spans="1:6" ht="38.25">
      <c r="A45" s="70" t="s">
        <v>125</v>
      </c>
      <c r="B45" s="61" t="s">
        <v>147</v>
      </c>
      <c r="C45" s="63" t="s">
        <v>45</v>
      </c>
      <c r="D45" s="64">
        <v>1</v>
      </c>
      <c r="E45" s="65"/>
      <c r="F45" s="66" t="str">
        <f>IF(Tabela1[[#This Row],[Cena/Em]]&lt;&gt;0,(IFERROR(ROUND(SUM(Tabela1[[#This Row],[Količina]]*Tabela1[[#This Row],[Cena/Em]]),2),"")),"Preveri vnos cene")</f>
        <v>Preveri vnos cene</v>
      </c>
    </row>
    <row r="46" spans="1:6" ht="80.25" customHeight="1">
      <c r="A46" s="70" t="s">
        <v>126</v>
      </c>
      <c r="B46" s="61" t="s">
        <v>402</v>
      </c>
      <c r="C46" s="63" t="s">
        <v>47</v>
      </c>
      <c r="D46" s="64">
        <v>1</v>
      </c>
      <c r="E46" s="65"/>
      <c r="F46" s="66" t="str">
        <f>IF(Tabela1[[#This Row],[Cena/Em]]&lt;&gt;0,(IFERROR(ROUND(SUM(Tabela1[[#This Row],[Količina]]*Tabela1[[#This Row],[Cena/Em]]),2),"")),"Preveri vnos cene")</f>
        <v>Preveri vnos cene</v>
      </c>
    </row>
    <row r="47" spans="1:6" ht="72" customHeight="1">
      <c r="A47" s="70" t="s">
        <v>127</v>
      </c>
      <c r="B47" s="61" t="s">
        <v>439</v>
      </c>
      <c r="C47" s="63" t="s">
        <v>1</v>
      </c>
      <c r="D47" s="64">
        <v>10</v>
      </c>
      <c r="E47" s="65"/>
      <c r="F47" s="66" t="str">
        <f>IF(Tabela1[[#This Row],[Cena/Em]]&lt;&gt;0,(IFERROR(ROUND(SUM(Tabela1[[#This Row],[Količina]]*Tabela1[[#This Row],[Cena/Em]]),2),"")),"Preveri vnos cene")</f>
        <v>Preveri vnos cene</v>
      </c>
    </row>
    <row r="48" spans="1:6" ht="80.25" customHeight="1">
      <c r="A48" s="70" t="s">
        <v>128</v>
      </c>
      <c r="B48" s="61" t="s">
        <v>423</v>
      </c>
      <c r="C48" s="63" t="s">
        <v>45</v>
      </c>
      <c r="D48" s="64">
        <v>6</v>
      </c>
      <c r="E48" s="65"/>
      <c r="F48" s="66" t="str">
        <f>IF(Tabela1[[#This Row],[Cena/Em]]&lt;&gt;0,(IFERROR(ROUND(SUM(Tabela1[[#This Row],[Količina]]*Tabela1[[#This Row],[Cena/Em]]),2),"")),"Preveri vnos cene")</f>
        <v>Preveri vnos cene</v>
      </c>
    </row>
    <row r="49" spans="1:9" ht="51">
      <c r="A49" s="70" t="s">
        <v>437</v>
      </c>
      <c r="B49" s="61" t="s">
        <v>130</v>
      </c>
      <c r="C49" s="56" t="s">
        <v>1</v>
      </c>
      <c r="D49" s="64">
        <v>51</v>
      </c>
      <c r="E49" s="65"/>
      <c r="F49" s="66" t="str">
        <f>IF(Tabela1[[#This Row],[Cena/Em]]&lt;&gt;0,(IFERROR(ROUND(SUM(Tabela1[[#This Row],[Količina]]*Tabela1[[#This Row],[Cena/Em]]),2),"")),"Preveri vnos cene")</f>
        <v>Preveri vnos cene</v>
      </c>
    </row>
    <row r="50" spans="1:9" ht="25.5">
      <c r="A50" s="70" t="s">
        <v>438</v>
      </c>
      <c r="B50" s="73" t="s">
        <v>132</v>
      </c>
      <c r="C50" s="56" t="s">
        <v>45</v>
      </c>
      <c r="D50" s="64">
        <v>2</v>
      </c>
      <c r="E50" s="65"/>
      <c r="F50" s="66" t="str">
        <f>IF(Tabela1[[#This Row],[Cena/Em]]&lt;&gt;0,(IFERROR(ROUND(SUM(Tabela1[[#This Row],[Količina]]*Tabela1[[#This Row],[Cena/Em]]),2),"")),"Preveri vnos cene")</f>
        <v>Preveri vnos cene</v>
      </c>
    </row>
    <row r="51" spans="1:9">
      <c r="A51" s="69" t="s">
        <v>133</v>
      </c>
      <c r="B51" s="50" t="s">
        <v>150</v>
      </c>
      <c r="C51" s="51"/>
      <c r="D51" s="52"/>
      <c r="E51" s="53"/>
      <c r="F51" s="54">
        <f>SUMIF(A52:A5377,"B.III.*",F52:F5377)</f>
        <v>0</v>
      </c>
    </row>
    <row r="52" spans="1:9" ht="76.5" customHeight="1">
      <c r="A52" s="70" t="s">
        <v>134</v>
      </c>
      <c r="B52" s="61" t="s">
        <v>429</v>
      </c>
      <c r="C52" s="56" t="s">
        <v>45</v>
      </c>
      <c r="D52" s="64">
        <v>2</v>
      </c>
      <c r="E52" s="65"/>
      <c r="F52" s="66" t="str">
        <f>IF(Tabela1[[#This Row],[Cena/Em]]&lt;&gt;0,(IFERROR(ROUND(SUM(Tabela1[[#This Row],[Količina]]*Tabela1[[#This Row],[Cena/Em]]),2),"")),"Preveri vnos cene")</f>
        <v>Preveri vnos cene</v>
      </c>
      <c r="H52" s="44"/>
    </row>
    <row r="53" spans="1:9" ht="51">
      <c r="A53" s="70" t="s">
        <v>135</v>
      </c>
      <c r="B53" s="61" t="s">
        <v>430</v>
      </c>
      <c r="C53" s="56" t="s">
        <v>45</v>
      </c>
      <c r="D53" s="64">
        <v>1</v>
      </c>
      <c r="E53" s="65"/>
      <c r="F53" s="66" t="str">
        <f>IF(Tabela1[[#This Row],[Cena/Em]]&lt;&gt;0,(IFERROR(ROUND(SUM(Tabela1[[#This Row],[Količina]]*Tabela1[[#This Row],[Cena/Em]]),2),"")),"Preveri vnos cene")</f>
        <v>Preveri vnos cene</v>
      </c>
      <c r="H53" s="44"/>
      <c r="I53" s="148"/>
    </row>
    <row r="54" spans="1:9" ht="55.5" customHeight="1">
      <c r="A54" s="70" t="s">
        <v>136</v>
      </c>
      <c r="B54" s="61" t="s">
        <v>428</v>
      </c>
      <c r="C54" s="56" t="s">
        <v>45</v>
      </c>
      <c r="D54" s="64">
        <v>4</v>
      </c>
      <c r="E54" s="65"/>
      <c r="F54" s="66" t="str">
        <f>IF(Tabela1[[#This Row],[Cena/Em]]&lt;&gt;0,(IFERROR(ROUND(SUM(Tabela1[[#This Row],[Količina]]*Tabela1[[#This Row],[Cena/Em]]),2),"")),"Preveri vnos cene")</f>
        <v>Preveri vnos cene</v>
      </c>
      <c r="H54" s="44"/>
    </row>
    <row r="55" spans="1:9" ht="76.5">
      <c r="A55" s="70" t="s">
        <v>137</v>
      </c>
      <c r="B55" s="61" t="s">
        <v>141</v>
      </c>
      <c r="C55" s="63" t="s">
        <v>47</v>
      </c>
      <c r="D55" s="64">
        <v>1</v>
      </c>
      <c r="E55" s="65"/>
      <c r="F55" s="66" t="str">
        <f>IF(Tabela1[[#This Row],[Cena/Em]]&lt;&gt;0,(IFERROR(ROUND(SUM(Tabela1[[#This Row],[Količina]]*Tabela1[[#This Row],[Cena/Em]]),2),"")),"Preveri vnos cene")</f>
        <v>Preveri vnos cene</v>
      </c>
    </row>
    <row r="56" spans="1:9" ht="29.25" customHeight="1">
      <c r="A56" s="70" t="s">
        <v>138</v>
      </c>
      <c r="B56" s="61" t="s">
        <v>140</v>
      </c>
      <c r="C56" s="63" t="s">
        <v>44</v>
      </c>
      <c r="D56" s="64">
        <v>25</v>
      </c>
      <c r="E56" s="65"/>
      <c r="F56" s="66" t="str">
        <f>IF(Tabela1[[#This Row],[Cena/Em]]&lt;&gt;0,(IFERROR(ROUND(SUM(Tabela1[[#This Row],[Količina]]*Tabela1[[#This Row],[Cena/Em]]),2),"")),"Preveri vnos cene")</f>
        <v>Preveri vnos cene</v>
      </c>
    </row>
    <row r="57" spans="1:9">
      <c r="A57" s="69" t="s">
        <v>142</v>
      </c>
      <c r="B57" s="50" t="s">
        <v>143</v>
      </c>
      <c r="C57" s="51"/>
      <c r="D57" s="52"/>
      <c r="E57" s="53"/>
      <c r="F57" s="54">
        <f>SUMIF(A58:A5383,"B.IV.*",F58:F5383)</f>
        <v>0</v>
      </c>
    </row>
    <row r="58" spans="1:9" ht="38.25">
      <c r="A58" s="70" t="s">
        <v>144</v>
      </c>
      <c r="B58" s="61" t="s">
        <v>436</v>
      </c>
      <c r="C58" s="60" t="s">
        <v>44</v>
      </c>
      <c r="D58" s="64">
        <v>177</v>
      </c>
      <c r="E58" s="65"/>
      <c r="F58" s="66" t="str">
        <f>IF(Tabela1[[#This Row],[Cena/Em]]&lt;&gt;0,(IFERROR(ROUND(SUM(Tabela1[[#This Row],[Količina]]*Tabela1[[#This Row],[Cena/Em]]),2),"")),"Preveri vnos cene")</f>
        <v>Preveri vnos cene</v>
      </c>
    </row>
    <row r="59" spans="1:9" ht="25.5">
      <c r="A59" s="82" t="s">
        <v>145</v>
      </c>
      <c r="B59" s="83" t="s">
        <v>146</v>
      </c>
      <c r="C59" s="84" t="s">
        <v>44</v>
      </c>
      <c r="D59" s="85">
        <v>255</v>
      </c>
      <c r="E59" s="86"/>
      <c r="F59" s="87" t="str">
        <f>IF(Tabela1[[#This Row],[Cena/Em]]&lt;&gt;0,(IFERROR(ROUND(SUM(Tabela1[[#This Row],[Količina]]*Tabela1[[#This Row],[Cena/Em]]),2),"")),"Preveri vnos cene")</f>
        <v>Preveri vnos cene</v>
      </c>
    </row>
    <row r="60" spans="1:9" ht="7.5" customHeight="1" thickBot="1">
      <c r="A60" s="70"/>
      <c r="B60" s="61"/>
      <c r="C60" s="63"/>
      <c r="D60" s="64"/>
      <c r="E60" s="72"/>
      <c r="F60" s="66"/>
    </row>
    <row r="61" spans="1:9" ht="27.75" customHeight="1" thickBot="1">
      <c r="A61" s="88"/>
      <c r="B61" s="109" t="s">
        <v>395</v>
      </c>
      <c r="C61" s="89"/>
      <c r="D61" s="90"/>
      <c r="E61" s="91"/>
      <c r="F61" s="92"/>
    </row>
    <row r="62" spans="1:9">
      <c r="A62" s="68" t="s">
        <v>152</v>
      </c>
      <c r="B62" s="45" t="s">
        <v>256</v>
      </c>
      <c r="C62" s="46"/>
      <c r="D62" s="47"/>
      <c r="E62" s="107"/>
      <c r="F62" s="49">
        <f>SUM(F63,F69,F79,F86,F90)</f>
        <v>0</v>
      </c>
    </row>
    <row r="63" spans="1:9">
      <c r="A63" s="69" t="s">
        <v>153</v>
      </c>
      <c r="B63" s="50" t="s">
        <v>46</v>
      </c>
      <c r="C63" s="51"/>
      <c r="D63" s="52"/>
      <c r="E63" s="53"/>
      <c r="F63" s="54">
        <f>SUMIF(A64:A5400,"=C.I.*",F64:F5400)</f>
        <v>0</v>
      </c>
    </row>
    <row r="64" spans="1:9">
      <c r="A64" s="70" t="s">
        <v>154</v>
      </c>
      <c r="B64" s="61" t="s">
        <v>168</v>
      </c>
      <c r="C64" s="63" t="s">
        <v>47</v>
      </c>
      <c r="D64" s="64">
        <v>1</v>
      </c>
      <c r="E64" s="65"/>
      <c r="F64" s="66" t="str">
        <f>IF(Tabela1[[#This Row],[Cena/Em]]&lt;&gt;0,(IFERROR(ROUND(SUM(Tabela1[[#This Row],[Količina]]*Tabela1[[#This Row],[Cena/Em]]),2),"")),"Preveri vnos cene")</f>
        <v>Preveri vnos cene</v>
      </c>
    </row>
    <row r="65" spans="1:6">
      <c r="A65" s="70" t="s">
        <v>155</v>
      </c>
      <c r="B65" s="61" t="s">
        <v>169</v>
      </c>
      <c r="C65" s="63" t="s">
        <v>47</v>
      </c>
      <c r="D65" s="64">
        <v>1</v>
      </c>
      <c r="E65" s="65"/>
      <c r="F65" s="66" t="str">
        <f>IF(Tabela1[[#This Row],[Cena/Em]]&lt;&gt;0,(IFERROR(ROUND(SUM(Tabela1[[#This Row],[Količina]]*Tabela1[[#This Row],[Cena/Em]]),2),"")),"Preveri vnos cene")</f>
        <v>Preveri vnos cene</v>
      </c>
    </row>
    <row r="66" spans="1:6" ht="25.5">
      <c r="A66" s="70" t="s">
        <v>156</v>
      </c>
      <c r="B66" s="61" t="s">
        <v>170</v>
      </c>
      <c r="C66" s="63" t="s">
        <v>44</v>
      </c>
      <c r="D66" s="64">
        <v>290</v>
      </c>
      <c r="E66" s="65"/>
      <c r="F66" s="66" t="str">
        <f>IF(Tabela1[[#This Row],[Cena/Em]]&lt;&gt;0,(IFERROR(ROUND(SUM(Tabela1[[#This Row],[Količina]]*Tabela1[[#This Row],[Cena/Em]]),2),"")),"Preveri vnos cene")</f>
        <v>Preveri vnos cene</v>
      </c>
    </row>
    <row r="67" spans="1:6">
      <c r="A67" s="70" t="s">
        <v>157</v>
      </c>
      <c r="B67" s="61" t="s">
        <v>171</v>
      </c>
      <c r="C67" s="63" t="s">
        <v>44</v>
      </c>
      <c r="D67" s="64">
        <v>25</v>
      </c>
      <c r="E67" s="65"/>
      <c r="F67" s="66" t="str">
        <f>IF(Tabela1[[#This Row],[Cena/Em]]&lt;&gt;0,(IFERROR(ROUND(SUM(Tabela1[[#This Row],[Količina]]*Tabela1[[#This Row],[Cena/Em]]),2),"")),"Preveri vnos cene")</f>
        <v>Preveri vnos cene</v>
      </c>
    </row>
    <row r="68" spans="1:6">
      <c r="A68" s="70" t="s">
        <v>384</v>
      </c>
      <c r="B68" s="55" t="s">
        <v>261</v>
      </c>
      <c r="C68" s="63" t="s">
        <v>47</v>
      </c>
      <c r="D68" s="64">
        <v>1</v>
      </c>
      <c r="E68" s="65"/>
      <c r="F68" s="66" t="str">
        <f>IF(Tabela1[[#This Row],[Cena/Em]]&lt;&gt;0,(IFERROR(ROUND(SUM(Tabela1[[#This Row],[Količina]]*Tabela1[[#This Row],[Cena/Em]]),2),"")),"Preveri vnos cene")</f>
        <v>Preveri vnos cene</v>
      </c>
    </row>
    <row r="69" spans="1:6">
      <c r="A69" s="69" t="s">
        <v>158</v>
      </c>
      <c r="B69" s="50" t="s">
        <v>159</v>
      </c>
      <c r="C69" s="51"/>
      <c r="D69" s="52"/>
      <c r="E69" s="53"/>
      <c r="F69" s="54">
        <f>SUMIF(A70:A5410,"=C.II.*",F70:F5410)</f>
        <v>0</v>
      </c>
    </row>
    <row r="70" spans="1:6" ht="25.5">
      <c r="A70" s="70" t="s">
        <v>160</v>
      </c>
      <c r="B70" s="61" t="s">
        <v>172</v>
      </c>
      <c r="C70" s="63" t="s">
        <v>47</v>
      </c>
      <c r="D70" s="64">
        <v>1</v>
      </c>
      <c r="E70" s="67"/>
      <c r="F70" s="66" t="str">
        <f>IF(Tabela1[[#This Row],[Cena/Em]]&lt;&gt;0,(IFERROR(ROUND(SUM(Tabela1[[#This Row],[Količina]]*Tabela1[[#This Row],[Cena/Em]]),2),"")),"Preveri vnos cene")</f>
        <v>Preveri vnos cene</v>
      </c>
    </row>
    <row r="71" spans="1:6" ht="25.5">
      <c r="A71" s="70" t="s">
        <v>161</v>
      </c>
      <c r="B71" s="61" t="s">
        <v>173</v>
      </c>
      <c r="C71" s="63" t="s">
        <v>1</v>
      </c>
      <c r="D71" s="64">
        <v>28</v>
      </c>
      <c r="E71" s="67"/>
      <c r="F71" s="66" t="str">
        <f>IF(Tabela1[[#This Row],[Cena/Em]]&lt;&gt;0,(IFERROR(ROUND(SUM(Tabela1[[#This Row],[Količina]]*Tabela1[[#This Row],[Cena/Em]]),2),"")),"Preveri vnos cene")</f>
        <v>Preveri vnos cene</v>
      </c>
    </row>
    <row r="72" spans="1:6" ht="25.5">
      <c r="A72" s="70" t="s">
        <v>162</v>
      </c>
      <c r="B72" s="61" t="s">
        <v>174</v>
      </c>
      <c r="C72" s="56" t="s">
        <v>44</v>
      </c>
      <c r="D72" s="64">
        <v>260</v>
      </c>
      <c r="E72" s="67"/>
      <c r="F72" s="66" t="str">
        <f>IF(Tabela1[[#This Row],[Cena/Em]]&lt;&gt;0,(IFERROR(ROUND(SUM(Tabela1[[#This Row],[Količina]]*Tabela1[[#This Row],[Cena/Em]]),2),"")),"Preveri vnos cene")</f>
        <v>Preveri vnos cene</v>
      </c>
    </row>
    <row r="73" spans="1:6">
      <c r="A73" s="70" t="s">
        <v>163</v>
      </c>
      <c r="B73" s="61" t="s">
        <v>175</v>
      </c>
      <c r="C73" s="63" t="s">
        <v>44</v>
      </c>
      <c r="D73" s="64">
        <v>27</v>
      </c>
      <c r="E73" s="67"/>
      <c r="F73" s="66" t="str">
        <f>IF(Tabela1[[#This Row],[Cena/Em]]&lt;&gt;0,(IFERROR(ROUND(SUM(Tabela1[[#This Row],[Količina]]*Tabela1[[#This Row],[Cena/Em]]),2),"")),"Preveri vnos cene")</f>
        <v>Preveri vnos cene</v>
      </c>
    </row>
    <row r="74" spans="1:6" ht="16.5" customHeight="1">
      <c r="A74" s="70" t="s">
        <v>164</v>
      </c>
      <c r="B74" s="61" t="s">
        <v>167</v>
      </c>
      <c r="C74" s="56" t="s">
        <v>44</v>
      </c>
      <c r="D74" s="64">
        <v>130</v>
      </c>
      <c r="E74" s="67"/>
      <c r="F74" s="66" t="str">
        <f>IF(Tabela1[[#This Row],[Cena/Em]]&lt;&gt;0,(IFERROR(ROUND(SUM(Tabela1[[#This Row],[Količina]]*Tabela1[[#This Row],[Cena/Em]]),2),"")),"Preveri vnos cene")</f>
        <v>Preveri vnos cene</v>
      </c>
    </row>
    <row r="75" spans="1:6">
      <c r="A75" s="70" t="s">
        <v>165</v>
      </c>
      <c r="B75" s="61" t="s">
        <v>385</v>
      </c>
      <c r="C75" s="56" t="s">
        <v>44</v>
      </c>
      <c r="D75" s="64">
        <v>20</v>
      </c>
      <c r="E75" s="67"/>
      <c r="F75" s="66" t="str">
        <f>IF(Tabela1[[#This Row],[Cena/Em]]&lt;&gt;0,(IFERROR(ROUND(SUM(Tabela1[[#This Row],[Količina]]*Tabela1[[#This Row],[Cena/Em]]),2),"")),"Preveri vnos cene")</f>
        <v>Preveri vnos cene</v>
      </c>
    </row>
    <row r="76" spans="1:6" ht="29.25" customHeight="1">
      <c r="A76" s="70" t="s">
        <v>166</v>
      </c>
      <c r="B76" s="61" t="s">
        <v>386</v>
      </c>
      <c r="C76" s="63" t="s">
        <v>44</v>
      </c>
      <c r="D76" s="64">
        <v>25</v>
      </c>
      <c r="E76" s="67"/>
      <c r="F76" s="66" t="str">
        <f>IF(Tabela1[[#This Row],[Cena/Em]]&lt;&gt;0,(IFERROR(ROUND(SUM(Tabela1[[#This Row],[Količina]]*Tabela1[[#This Row],[Cena/Em]]),2),"")),"Preveri vnos cene")</f>
        <v>Preveri vnos cene</v>
      </c>
    </row>
    <row r="77" spans="1:6">
      <c r="A77" s="70" t="s">
        <v>383</v>
      </c>
      <c r="B77" s="61" t="s">
        <v>387</v>
      </c>
      <c r="C77" s="63" t="s">
        <v>44</v>
      </c>
      <c r="D77" s="64">
        <v>115</v>
      </c>
      <c r="E77" s="67"/>
      <c r="F77" s="66" t="str">
        <f>IF(Tabela1[[#This Row],[Cena/Em]]&lt;&gt;0,(IFERROR(ROUND(SUM(Tabela1[[#This Row],[Količina]]*Tabela1[[#This Row],[Cena/Em]]),2),"")),"Preveri vnos cene")</f>
        <v>Preveri vnos cene</v>
      </c>
    </row>
    <row r="78" spans="1:6" ht="38.25">
      <c r="A78" s="70" t="s">
        <v>166</v>
      </c>
      <c r="B78" s="61" t="s">
        <v>177</v>
      </c>
      <c r="C78" s="63" t="s">
        <v>43</v>
      </c>
      <c r="D78" s="64">
        <v>8.5</v>
      </c>
      <c r="E78" s="67"/>
      <c r="F78" s="66" t="str">
        <f>IF(Tabela1[[#This Row],[Cena/Em]]&lt;&gt;0,(IFERROR(ROUND(SUM(Tabela1[[#This Row],[Količina]]*Tabela1[[#This Row],[Cena/Em]]),2),"")),"Preveri vnos cene")</f>
        <v>Preveri vnos cene</v>
      </c>
    </row>
    <row r="79" spans="1:6">
      <c r="A79" s="69" t="s">
        <v>178</v>
      </c>
      <c r="B79" s="50" t="s">
        <v>196</v>
      </c>
      <c r="C79" s="51"/>
      <c r="D79" s="52"/>
      <c r="E79" s="53"/>
      <c r="F79" s="54">
        <f>SUMIF(A80:A5423,"=C.III.*",F80:F5423)</f>
        <v>0</v>
      </c>
    </row>
    <row r="80" spans="1:6" ht="25.5">
      <c r="A80" s="70" t="s">
        <v>179</v>
      </c>
      <c r="B80" s="61" t="s">
        <v>189</v>
      </c>
      <c r="C80" s="56" t="s">
        <v>44</v>
      </c>
      <c r="D80" s="64">
        <v>20</v>
      </c>
      <c r="E80" s="65"/>
      <c r="F80" s="66" t="str">
        <f>IF(Tabela1[[#This Row],[Cena/Em]]&lt;&gt;0,(IFERROR(ROUND(SUM(Tabela1[[#This Row],[Količina]]*Tabela1[[#This Row],[Cena/Em]]),2),"")),"Preveri vnos cene")</f>
        <v>Preveri vnos cene</v>
      </c>
    </row>
    <row r="81" spans="1:8" ht="89.25">
      <c r="A81" s="70" t="s">
        <v>180</v>
      </c>
      <c r="B81" s="61" t="s">
        <v>187</v>
      </c>
      <c r="C81" s="60" t="s">
        <v>44</v>
      </c>
      <c r="D81" s="64">
        <v>260</v>
      </c>
      <c r="E81" s="65"/>
      <c r="F81" s="66" t="str">
        <f>IF(Tabela1[[#This Row],[Cena/Em]]&lt;&gt;0,(IFERROR(ROUND(SUM(Tabela1[[#This Row],[Količina]]*Tabela1[[#This Row],[Cena/Em]]),2),"")),"Preveri vnos cene")</f>
        <v>Preveri vnos cene</v>
      </c>
    </row>
    <row r="82" spans="1:8" ht="25.5">
      <c r="A82" s="70" t="s">
        <v>181</v>
      </c>
      <c r="B82" s="61" t="s">
        <v>188</v>
      </c>
      <c r="C82" s="60" t="s">
        <v>48</v>
      </c>
      <c r="D82" s="64">
        <v>42</v>
      </c>
      <c r="E82" s="65"/>
      <c r="F82" s="66" t="str">
        <f>IF(Tabela1[[#This Row],[Cena/Em]]&lt;&gt;0,(IFERROR(ROUND(SUM(Tabela1[[#This Row],[Količina]]*Tabela1[[#This Row],[Cena/Em]]),2),"")),"Preveri vnos cene")</f>
        <v>Preveri vnos cene</v>
      </c>
    </row>
    <row r="83" spans="1:8">
      <c r="A83" s="70" t="s">
        <v>182</v>
      </c>
      <c r="B83" s="61" t="s">
        <v>194</v>
      </c>
      <c r="C83" s="56" t="s">
        <v>44</v>
      </c>
      <c r="D83" s="64">
        <v>27</v>
      </c>
      <c r="E83" s="65"/>
      <c r="F83" s="66" t="str">
        <f>IF(Tabela1[[#This Row],[Cena/Em]]&lt;&gt;0,(IFERROR(ROUND(SUM(Tabela1[[#This Row],[Količina]]*Tabela1[[#This Row],[Cena/Em]]),2),"")),"Preveri vnos cene")</f>
        <v>Preveri vnos cene</v>
      </c>
    </row>
    <row r="84" spans="1:8" ht="51">
      <c r="A84" s="70" t="s">
        <v>389</v>
      </c>
      <c r="B84" s="61" t="s">
        <v>95</v>
      </c>
      <c r="C84" s="63" t="s">
        <v>44</v>
      </c>
      <c r="D84" s="64">
        <v>115</v>
      </c>
      <c r="E84" s="65"/>
      <c r="F84" s="66" t="str">
        <f>IF(Tabela1[[#This Row],[Cena/Em]]&lt;&gt;0,(IFERROR(ROUND(SUM(Tabela1[[#This Row],[Količina]]*Tabela1[[#This Row],[Cena/Em]]),2),"")),"Preveri vnos cene")</f>
        <v>Preveri vnos cene</v>
      </c>
    </row>
    <row r="85" spans="1:8" ht="76.5">
      <c r="A85" s="70" t="s">
        <v>390</v>
      </c>
      <c r="B85" s="61" t="s">
        <v>388</v>
      </c>
      <c r="C85" s="63" t="s">
        <v>44</v>
      </c>
      <c r="D85" s="64">
        <v>115</v>
      </c>
      <c r="E85" s="65"/>
      <c r="F85" s="66" t="str">
        <f>IF(Tabela1[[#This Row],[Cena/Em]]&lt;&gt;0,(IFERROR(ROUND(SUM(Tabela1[[#This Row],[Količina]]*Tabela1[[#This Row],[Cena/Em]]),2),"")),"Preveri vnos cene")</f>
        <v>Preveri vnos cene</v>
      </c>
    </row>
    <row r="86" spans="1:8">
      <c r="A86" s="69" t="s">
        <v>183</v>
      </c>
      <c r="B86" s="50" t="s">
        <v>184</v>
      </c>
      <c r="C86" s="51"/>
      <c r="D86" s="52"/>
      <c r="E86" s="53"/>
      <c r="F86" s="54">
        <f>SUMIF(A87:A5427,"=C.IV*",F87:F5427)</f>
        <v>0</v>
      </c>
    </row>
    <row r="87" spans="1:8" ht="25.5">
      <c r="A87" s="70" t="s">
        <v>185</v>
      </c>
      <c r="B87" s="61" t="s">
        <v>190</v>
      </c>
      <c r="C87" s="63" t="s">
        <v>44</v>
      </c>
      <c r="D87" s="64">
        <v>260</v>
      </c>
      <c r="E87" s="65"/>
      <c r="F87" s="66" t="str">
        <f>IF(Tabela1[[#This Row],[Cena/Em]]&lt;&gt;0,(IFERROR(ROUND(SUM(Tabela1[[#This Row],[Količina]]*Tabela1[[#This Row],[Cena/Em]]),2),"")),"Preveri vnos cene")</f>
        <v>Preveri vnos cene</v>
      </c>
    </row>
    <row r="88" spans="1:8" ht="25.5">
      <c r="A88" s="70" t="s">
        <v>186</v>
      </c>
      <c r="B88" s="61" t="s">
        <v>191</v>
      </c>
      <c r="C88" s="63" t="s">
        <v>44</v>
      </c>
      <c r="D88" s="64">
        <v>65</v>
      </c>
      <c r="E88" s="65"/>
      <c r="F88" s="66" t="str">
        <f>IF(Tabela1[[#This Row],[Cena/Em]]&lt;&gt;0,(IFERROR(ROUND(SUM(Tabela1[[#This Row],[Količina]]*Tabela1[[#This Row],[Cena/Em]]),2),"")),"Preveri vnos cene")</f>
        <v>Preveri vnos cene</v>
      </c>
    </row>
    <row r="89" spans="1:8" ht="51">
      <c r="A89" s="70" t="s">
        <v>391</v>
      </c>
      <c r="B89" s="61" t="s">
        <v>294</v>
      </c>
      <c r="C89" s="63" t="s">
        <v>44</v>
      </c>
      <c r="D89" s="64">
        <v>385</v>
      </c>
      <c r="E89" s="65"/>
      <c r="F89" s="66" t="str">
        <f>IF(Tabela1[[#This Row],[Cena/Em]]&lt;&gt;0,(IFERROR(ROUND(SUM(Tabela1[[#This Row],[Količina]]*Tabela1[[#This Row],[Cena/Em]]),2),"")),"Preveri vnos cene")</f>
        <v>Preveri vnos cene</v>
      </c>
    </row>
    <row r="90" spans="1:8">
      <c r="A90" s="69" t="s">
        <v>192</v>
      </c>
      <c r="B90" s="50" t="s">
        <v>195</v>
      </c>
      <c r="C90" s="51"/>
      <c r="D90" s="52"/>
      <c r="E90" s="53"/>
      <c r="F90" s="54">
        <f>SUMIF(A91:A5465,"=C.V.*",F91:F5465)</f>
        <v>0</v>
      </c>
    </row>
    <row r="91" spans="1:8" ht="66.75" customHeight="1">
      <c r="A91" s="70" t="s">
        <v>193</v>
      </c>
      <c r="B91" s="61" t="s">
        <v>431</v>
      </c>
      <c r="C91" s="60" t="s">
        <v>45</v>
      </c>
      <c r="D91" s="64">
        <v>3</v>
      </c>
      <c r="E91" s="65"/>
      <c r="F91" s="66" t="str">
        <f>IF(Tabela1[[#This Row],[Cena/Em]]&lt;&gt;0,(IFERROR(ROUND(SUM(Tabela1[[#This Row],[Količina]]*Tabela1[[#This Row],[Cena/Em]]),2),"")),"Preveri vnos cene")</f>
        <v>Preveri vnos cene</v>
      </c>
    </row>
    <row r="92" spans="1:8" ht="76.5">
      <c r="A92" s="70" t="s">
        <v>197</v>
      </c>
      <c r="B92" s="61" t="s">
        <v>433</v>
      </c>
      <c r="C92" s="63" t="s">
        <v>45</v>
      </c>
      <c r="D92" s="64">
        <v>6</v>
      </c>
      <c r="E92" s="65"/>
      <c r="F92" s="66" t="str">
        <f>IF(Tabela1[[#This Row],[Cena/Em]]&lt;&gt;0,(IFERROR(ROUND(SUM(Tabela1[[#This Row],[Količina]]*Tabela1[[#This Row],[Cena/Em]]),2),"")),"Preveri vnos cene")</f>
        <v>Preveri vnos cene</v>
      </c>
      <c r="H92" s="44"/>
    </row>
    <row r="93" spans="1:8" ht="65.25" customHeight="1">
      <c r="A93" s="70" t="s">
        <v>198</v>
      </c>
      <c r="B93" s="61" t="s">
        <v>434</v>
      </c>
      <c r="C93" s="63" t="s">
        <v>45</v>
      </c>
      <c r="D93" s="64">
        <v>1</v>
      </c>
      <c r="E93" s="65"/>
      <c r="F93" s="66" t="str">
        <f>IF(Tabela1[[#This Row],[Cena/Em]]&lt;&gt;0,(IFERROR(ROUND(SUM(Tabela1[[#This Row],[Količina]]*Tabela1[[#This Row],[Cena/Em]]),2),"")),"Preveri vnos cene")</f>
        <v>Preveri vnos cene</v>
      </c>
    </row>
    <row r="94" spans="1:8" ht="70.5" customHeight="1">
      <c r="A94" s="70" t="s">
        <v>199</v>
      </c>
      <c r="B94" s="61" t="s">
        <v>432</v>
      </c>
      <c r="C94" s="63" t="s">
        <v>45</v>
      </c>
      <c r="D94" s="64">
        <v>1</v>
      </c>
      <c r="E94" s="65"/>
      <c r="F94" s="66" t="str">
        <f>IF(Tabela1[[#This Row],[Cena/Em]]&lt;&gt;0,(IFERROR(ROUND(SUM(Tabela1[[#This Row],[Količina]]*Tabela1[[#This Row],[Cena/Em]]),2),"")),"Preveri vnos cene")</f>
        <v>Preveri vnos cene</v>
      </c>
      <c r="H94" s="44"/>
    </row>
    <row r="95" spans="1:8" ht="53.25" customHeight="1">
      <c r="A95" s="70" t="s">
        <v>392</v>
      </c>
      <c r="B95" s="61" t="s">
        <v>393</v>
      </c>
      <c r="C95" s="63" t="s">
        <v>45</v>
      </c>
      <c r="D95" s="64">
        <v>5</v>
      </c>
      <c r="E95" s="65"/>
      <c r="F95" s="66" t="str">
        <f>IF(Tabela1[[#This Row],[Cena/Em]]&lt;&gt;0,(IFERROR(ROUND(SUM(Tabela1[[#This Row],[Količina]]*Tabela1[[#This Row],[Cena/Em]]),2),"")),"Preveri vnos cene")</f>
        <v>Preveri vnos cene</v>
      </c>
    </row>
    <row r="96" spans="1:8" ht="7.5" customHeight="1" thickBot="1">
      <c r="A96" s="70"/>
      <c r="B96" s="61"/>
      <c r="C96" s="63"/>
      <c r="D96" s="64"/>
      <c r="E96" s="124"/>
      <c r="F96" s="66"/>
    </row>
    <row r="97" spans="1:6" ht="27.75" customHeight="1">
      <c r="A97" s="88"/>
      <c r="B97" s="109" t="s">
        <v>396</v>
      </c>
      <c r="C97" s="89"/>
      <c r="D97" s="90"/>
      <c r="E97" s="91"/>
      <c r="F97" s="92"/>
    </row>
    <row r="98" spans="1:6" ht="15" customHeight="1">
      <c r="A98" s="68" t="s">
        <v>215</v>
      </c>
      <c r="B98" s="45" t="s">
        <v>256</v>
      </c>
      <c r="C98" s="46"/>
      <c r="D98" s="47"/>
      <c r="E98" s="107"/>
      <c r="F98" s="49">
        <f>SUM(F99,F104,F112,F117,F120)</f>
        <v>0</v>
      </c>
    </row>
    <row r="99" spans="1:6" ht="15" customHeight="1">
      <c r="A99" s="69" t="s">
        <v>201</v>
      </c>
      <c r="B99" s="50" t="s">
        <v>46</v>
      </c>
      <c r="C99" s="51"/>
      <c r="D99" s="52"/>
      <c r="E99" s="53"/>
      <c r="F99" s="54">
        <f>SUMIF(A100:A5429,"=D.I.*",F100:F5429)</f>
        <v>0</v>
      </c>
    </row>
    <row r="100" spans="1:6" ht="15" customHeight="1">
      <c r="A100" s="70" t="s">
        <v>216</v>
      </c>
      <c r="B100" s="61" t="s">
        <v>168</v>
      </c>
      <c r="C100" s="63" t="s">
        <v>47</v>
      </c>
      <c r="D100" s="64">
        <v>1</v>
      </c>
      <c r="E100" s="65"/>
      <c r="F100" s="66" t="str">
        <f>IF(Tabela1[[#This Row],[Cena/Em]]&lt;&gt;0,(IFERROR(ROUND(SUM(Tabela1[[#This Row],[Količina]]*Tabela1[[#This Row],[Cena/Em]]),2),"")),"Preveri vnos cene")</f>
        <v>Preveri vnos cene</v>
      </c>
    </row>
    <row r="101" spans="1:6" ht="15" customHeight="1">
      <c r="A101" s="70" t="s">
        <v>217</v>
      </c>
      <c r="B101" s="61" t="s">
        <v>169</v>
      </c>
      <c r="C101" s="63" t="s">
        <v>47</v>
      </c>
      <c r="D101" s="64">
        <v>1</v>
      </c>
      <c r="E101" s="65"/>
      <c r="F101" s="66" t="str">
        <f>IF(Tabela1[[#This Row],[Cena/Em]]&lt;&gt;0,(IFERROR(ROUND(SUM(Tabela1[[#This Row],[Količina]]*Tabela1[[#This Row],[Cena/Em]]),2),"")),"Preveri vnos cene")</f>
        <v>Preveri vnos cene</v>
      </c>
    </row>
    <row r="102" spans="1:6" ht="27" customHeight="1">
      <c r="A102" s="70" t="s">
        <v>218</v>
      </c>
      <c r="B102" s="61" t="s">
        <v>170</v>
      </c>
      <c r="C102" s="63" t="s">
        <v>44</v>
      </c>
      <c r="D102" s="64">
        <v>290</v>
      </c>
      <c r="E102" s="65"/>
      <c r="F102" s="66" t="str">
        <f>IF(Tabela1[[#This Row],[Cena/Em]]&lt;&gt;0,(IFERROR(ROUND(SUM(Tabela1[[#This Row],[Količina]]*Tabela1[[#This Row],[Cena/Em]]),2),"")),"Preveri vnos cene")</f>
        <v>Preveri vnos cene</v>
      </c>
    </row>
    <row r="103" spans="1:6" ht="15" customHeight="1">
      <c r="A103" s="70" t="s">
        <v>219</v>
      </c>
      <c r="B103" s="61" t="s">
        <v>171</v>
      </c>
      <c r="C103" s="63" t="s">
        <v>44</v>
      </c>
      <c r="D103" s="64">
        <v>25</v>
      </c>
      <c r="E103" s="65"/>
      <c r="F103" s="66" t="str">
        <f>IF(Tabela1[[#This Row],[Cena/Em]]&lt;&gt;0,(IFERROR(ROUND(SUM(Tabela1[[#This Row],[Količina]]*Tabela1[[#This Row],[Cena/Em]]),2),"")),"Preveri vnos cene")</f>
        <v>Preveri vnos cene</v>
      </c>
    </row>
    <row r="104" spans="1:6" ht="15" customHeight="1">
      <c r="A104" s="69" t="s">
        <v>202</v>
      </c>
      <c r="B104" s="50" t="s">
        <v>159</v>
      </c>
      <c r="C104" s="51"/>
      <c r="D104" s="52"/>
      <c r="E104" s="53"/>
      <c r="F104" s="54">
        <f>SUMIF(A105:A5439,"=D.II.*",F105:F5439)</f>
        <v>0</v>
      </c>
    </row>
    <row r="105" spans="1:6" ht="27.75" customHeight="1">
      <c r="A105" s="70" t="s">
        <v>229</v>
      </c>
      <c r="B105" s="61" t="s">
        <v>172</v>
      </c>
      <c r="C105" s="63" t="s">
        <v>47</v>
      </c>
      <c r="D105" s="64">
        <v>1</v>
      </c>
      <c r="E105" s="67"/>
      <c r="F105" s="66" t="str">
        <f>IF(Tabela1[[#This Row],[Cena/Em]]&lt;&gt;0,(IFERROR(ROUND(SUM(Tabela1[[#This Row],[Količina]]*Tabela1[[#This Row],[Cena/Em]]),2),"")),"Preveri vnos cene")</f>
        <v>Preveri vnos cene</v>
      </c>
    </row>
    <row r="106" spans="1:6" ht="28.5" customHeight="1">
      <c r="A106" s="70" t="s">
        <v>230</v>
      </c>
      <c r="B106" s="61" t="s">
        <v>173</v>
      </c>
      <c r="C106" s="63" t="s">
        <v>1</v>
      </c>
      <c r="D106" s="64">
        <v>28</v>
      </c>
      <c r="E106" s="67"/>
      <c r="F106" s="66" t="str">
        <f>IF(Tabela1[[#This Row],[Cena/Em]]&lt;&gt;0,(IFERROR(ROUND(SUM(Tabela1[[#This Row],[Količina]]*Tabela1[[#This Row],[Cena/Em]]),2),"")),"Preveri vnos cene")</f>
        <v>Preveri vnos cene</v>
      </c>
    </row>
    <row r="107" spans="1:6" ht="30" customHeight="1">
      <c r="A107" s="70" t="s">
        <v>231</v>
      </c>
      <c r="B107" s="61" t="s">
        <v>174</v>
      </c>
      <c r="C107" s="56" t="s">
        <v>44</v>
      </c>
      <c r="D107" s="64">
        <v>260</v>
      </c>
      <c r="E107" s="67"/>
      <c r="F107" s="66" t="str">
        <f>IF(Tabela1[[#This Row],[Cena/Em]]&lt;&gt;0,(IFERROR(ROUND(SUM(Tabela1[[#This Row],[Količina]]*Tabela1[[#This Row],[Cena/Em]]),2),"")),"Preveri vnos cene")</f>
        <v>Preveri vnos cene</v>
      </c>
    </row>
    <row r="108" spans="1:6" ht="15" customHeight="1">
      <c r="A108" s="70" t="s">
        <v>232</v>
      </c>
      <c r="B108" s="61" t="s">
        <v>175</v>
      </c>
      <c r="C108" s="63" t="s">
        <v>44</v>
      </c>
      <c r="D108" s="64">
        <v>27</v>
      </c>
      <c r="E108" s="67"/>
      <c r="F108" s="66" t="str">
        <f>IF(Tabela1[[#This Row],[Cena/Em]]&lt;&gt;0,(IFERROR(ROUND(SUM(Tabela1[[#This Row],[Količina]]*Tabela1[[#This Row],[Cena/Em]]),2),"")),"Preveri vnos cene")</f>
        <v>Preveri vnos cene</v>
      </c>
    </row>
    <row r="109" spans="1:6" ht="15" customHeight="1">
      <c r="A109" s="70" t="s">
        <v>233</v>
      </c>
      <c r="B109" s="61" t="s">
        <v>167</v>
      </c>
      <c r="C109" s="56" t="s">
        <v>44</v>
      </c>
      <c r="D109" s="64">
        <v>130</v>
      </c>
      <c r="E109" s="67"/>
      <c r="F109" s="66" t="str">
        <f>IF(Tabela1[[#This Row],[Cena/Em]]&lt;&gt;0,(IFERROR(ROUND(SUM(Tabela1[[#This Row],[Količina]]*Tabela1[[#This Row],[Cena/Em]]),2),"")),"Preveri vnos cene")</f>
        <v>Preveri vnos cene</v>
      </c>
    </row>
    <row r="110" spans="1:6" ht="15" customHeight="1">
      <c r="A110" s="70" t="s">
        <v>238</v>
      </c>
      <c r="B110" s="61" t="s">
        <v>176</v>
      </c>
      <c r="C110" s="56" t="s">
        <v>44</v>
      </c>
      <c r="D110" s="64">
        <v>20</v>
      </c>
      <c r="E110" s="67"/>
      <c r="F110" s="66" t="str">
        <f>IF(Tabela1[[#This Row],[Cena/Em]]&lt;&gt;0,(IFERROR(ROUND(SUM(Tabela1[[#This Row],[Količina]]*Tabela1[[#This Row],[Cena/Em]]),2),"")),"Preveri vnos cene")</f>
        <v>Preveri vnos cene</v>
      </c>
    </row>
    <row r="111" spans="1:6" ht="39" customHeight="1">
      <c r="A111" s="70" t="s">
        <v>239</v>
      </c>
      <c r="B111" s="61" t="s">
        <v>177</v>
      </c>
      <c r="C111" s="63" t="s">
        <v>43</v>
      </c>
      <c r="D111" s="64">
        <v>5</v>
      </c>
      <c r="E111" s="67"/>
      <c r="F111" s="66" t="str">
        <f>IF(Tabela1[[#This Row],[Cena/Em]]&lt;&gt;0,(IFERROR(ROUND(SUM(Tabela1[[#This Row],[Količina]]*Tabela1[[#This Row],[Cena/Em]]),2),"")),"Preveri vnos cene")</f>
        <v>Preveri vnos cene</v>
      </c>
    </row>
    <row r="112" spans="1:6" ht="15" customHeight="1">
      <c r="A112" s="69" t="s">
        <v>262</v>
      </c>
      <c r="B112" s="50" t="s">
        <v>196</v>
      </c>
      <c r="C112" s="51"/>
      <c r="D112" s="52"/>
      <c r="E112" s="53"/>
      <c r="F112" s="54">
        <f>SUMIF(A113:A5452,"=D.III.*",F113:F5452)</f>
        <v>0</v>
      </c>
    </row>
    <row r="113" spans="1:6" ht="26.25" customHeight="1">
      <c r="A113" s="70" t="s">
        <v>263</v>
      </c>
      <c r="B113" s="61" t="s">
        <v>189</v>
      </c>
      <c r="C113" s="56" t="s">
        <v>44</v>
      </c>
      <c r="D113" s="64">
        <v>20</v>
      </c>
      <c r="E113" s="65"/>
      <c r="F113" s="66" t="str">
        <f>IF(Tabela1[[#This Row],[Cena/Em]]&lt;&gt;0,(IFERROR(ROUND(SUM(Tabela1[[#This Row],[Količina]]*Tabela1[[#This Row],[Cena/Em]]),2),"")),"Preveri vnos cene")</f>
        <v>Preveri vnos cene</v>
      </c>
    </row>
    <row r="114" spans="1:6" ht="93.75" customHeight="1">
      <c r="A114" s="70" t="s">
        <v>264</v>
      </c>
      <c r="B114" s="61" t="s">
        <v>187</v>
      </c>
      <c r="C114" s="60" t="s">
        <v>44</v>
      </c>
      <c r="D114" s="64">
        <v>260</v>
      </c>
      <c r="E114" s="65"/>
      <c r="F114" s="66" t="str">
        <f>IF(Tabela1[[#This Row],[Cena/Em]]&lt;&gt;0,(IFERROR(ROUND(SUM(Tabela1[[#This Row],[Količina]]*Tabela1[[#This Row],[Cena/Em]]),2),"")),"Preveri vnos cene")</f>
        <v>Preveri vnos cene</v>
      </c>
    </row>
    <row r="115" spans="1:6" ht="30" customHeight="1">
      <c r="A115" s="70" t="s">
        <v>265</v>
      </c>
      <c r="B115" s="61" t="s">
        <v>188</v>
      </c>
      <c r="C115" s="60" t="s">
        <v>48</v>
      </c>
      <c r="D115" s="64">
        <v>42</v>
      </c>
      <c r="E115" s="65"/>
      <c r="F115" s="66" t="str">
        <f>IF(Tabela1[[#This Row],[Cena/Em]]&lt;&gt;0,(IFERROR(ROUND(SUM(Tabela1[[#This Row],[Količina]]*Tabela1[[#This Row],[Cena/Em]]),2),"")),"Preveri vnos cene")</f>
        <v>Preveri vnos cene</v>
      </c>
    </row>
    <row r="116" spans="1:6" ht="15" customHeight="1">
      <c r="A116" s="70" t="s">
        <v>266</v>
      </c>
      <c r="B116" s="61" t="s">
        <v>194</v>
      </c>
      <c r="C116" s="56" t="s">
        <v>44</v>
      </c>
      <c r="D116" s="64">
        <v>27</v>
      </c>
      <c r="E116" s="65"/>
      <c r="F116" s="66" t="str">
        <f>IF(Tabela1[[#This Row],[Cena/Em]]&lt;&gt;0,(IFERROR(ROUND(SUM(Tabela1[[#This Row],[Količina]]*Tabela1[[#This Row],[Cena/Em]]),2),"")),"Preveri vnos cene")</f>
        <v>Preveri vnos cene</v>
      </c>
    </row>
    <row r="117" spans="1:6" ht="15" customHeight="1">
      <c r="A117" s="69" t="s">
        <v>267</v>
      </c>
      <c r="B117" s="50" t="s">
        <v>184</v>
      </c>
      <c r="C117" s="51"/>
      <c r="D117" s="52"/>
      <c r="E117" s="53"/>
      <c r="F117" s="54">
        <f>SUMIF(A118:A5456,"=D.IV*",F118:F5456)</f>
        <v>0</v>
      </c>
    </row>
    <row r="118" spans="1:6" ht="27.75" customHeight="1">
      <c r="A118" s="70" t="s">
        <v>268</v>
      </c>
      <c r="B118" s="61" t="s">
        <v>190</v>
      </c>
      <c r="C118" s="63" t="s">
        <v>44</v>
      </c>
      <c r="D118" s="64">
        <v>260</v>
      </c>
      <c r="E118" s="65"/>
      <c r="F118" s="66" t="str">
        <f>IF(Tabela1[[#This Row],[Cena/Em]]&lt;&gt;0,(IFERROR(ROUND(SUM(Tabela1[[#This Row],[Količina]]*Tabela1[[#This Row],[Cena/Em]]),2),"")),"Preveri vnos cene")</f>
        <v>Preveri vnos cene</v>
      </c>
    </row>
    <row r="119" spans="1:6" ht="27" customHeight="1">
      <c r="A119" s="70" t="s">
        <v>269</v>
      </c>
      <c r="B119" s="61" t="s">
        <v>191</v>
      </c>
      <c r="C119" s="63" t="s">
        <v>44</v>
      </c>
      <c r="D119" s="64">
        <v>65</v>
      </c>
      <c r="E119" s="65"/>
      <c r="F119" s="66" t="str">
        <f>IF(Tabela1[[#This Row],[Cena/Em]]&lt;&gt;0,(IFERROR(ROUND(SUM(Tabela1[[#This Row],[Količina]]*Tabela1[[#This Row],[Cena/Em]]),2),"")),"Preveri vnos cene")</f>
        <v>Preveri vnos cene</v>
      </c>
    </row>
    <row r="120" spans="1:6" ht="15" customHeight="1">
      <c r="A120" s="69" t="s">
        <v>270</v>
      </c>
      <c r="B120" s="50" t="s">
        <v>195</v>
      </c>
      <c r="C120" s="51"/>
      <c r="D120" s="52"/>
      <c r="E120" s="53"/>
      <c r="F120" s="54">
        <f>SUMIF(A121:A5464,"=D.V.*",F121:F5464)</f>
        <v>0</v>
      </c>
    </row>
    <row r="121" spans="1:6" ht="67.5" customHeight="1">
      <c r="A121" s="70" t="s">
        <v>271</v>
      </c>
      <c r="B121" s="61" t="s">
        <v>426</v>
      </c>
      <c r="C121" s="60" t="s">
        <v>45</v>
      </c>
      <c r="D121" s="64">
        <v>3</v>
      </c>
      <c r="E121" s="65"/>
      <c r="F121" s="66" t="str">
        <f>IF(Tabela1[[#This Row],[Cena/Em]]&lt;&gt;0,(IFERROR(ROUND(SUM(Tabela1[[#This Row],[Količina]]*Tabela1[[#This Row],[Cena/Em]]),2),"")),"Preveri vnos cene")</f>
        <v>Preveri vnos cene</v>
      </c>
    </row>
    <row r="122" spans="1:6" ht="77.25" customHeight="1" thickBot="1">
      <c r="A122" s="70" t="s">
        <v>272</v>
      </c>
      <c r="B122" s="61" t="s">
        <v>427</v>
      </c>
      <c r="C122" s="60" t="s">
        <v>45</v>
      </c>
      <c r="D122" s="64">
        <v>3</v>
      </c>
      <c r="E122" s="65"/>
      <c r="F122" s="66" t="str">
        <f>IF(Tabela1[[#This Row],[Cena/Em]]&lt;&gt;0,(IFERROR(ROUND(SUM(Tabela1[[#This Row],[Količina]]*Tabela1[[#This Row],[Cena/Em]]),2),"")),"Preveri vnos cene")</f>
        <v>Preveri vnos cene</v>
      </c>
    </row>
    <row r="123" spans="1:6" ht="7.5" customHeight="1" thickBot="1">
      <c r="A123" s="70"/>
      <c r="B123" s="61"/>
      <c r="C123" s="63"/>
      <c r="D123" s="64"/>
      <c r="E123" s="124"/>
      <c r="F123" s="66"/>
    </row>
    <row r="124" spans="1:6" ht="27.75" customHeight="1">
      <c r="A124" s="119"/>
      <c r="B124" s="109" t="s">
        <v>441</v>
      </c>
      <c r="C124" s="120"/>
      <c r="D124" s="121"/>
      <c r="E124" s="91"/>
      <c r="F124" s="122"/>
    </row>
    <row r="125" spans="1:6">
      <c r="A125" s="103" t="s">
        <v>247</v>
      </c>
      <c r="B125" s="104" t="s">
        <v>259</v>
      </c>
      <c r="C125" s="105"/>
      <c r="D125" s="106"/>
      <c r="E125" s="107"/>
      <c r="F125" s="108">
        <f>SUM(F126,F137)</f>
        <v>0</v>
      </c>
    </row>
    <row r="126" spans="1:6">
      <c r="A126" s="69" t="s">
        <v>205</v>
      </c>
      <c r="B126" s="50" t="s">
        <v>159</v>
      </c>
      <c r="C126" s="51"/>
      <c r="D126" s="52"/>
      <c r="E126" s="53"/>
      <c r="F126" s="54">
        <f>SUMIF(A127:A5533,"=E.I.*",F127:F5533)</f>
        <v>0</v>
      </c>
    </row>
    <row r="127" spans="1:6" ht="76.5">
      <c r="A127" s="70" t="s">
        <v>248</v>
      </c>
      <c r="B127" s="61" t="s">
        <v>227</v>
      </c>
      <c r="C127" s="63" t="s">
        <v>44</v>
      </c>
      <c r="D127" s="64">
        <v>115</v>
      </c>
      <c r="E127" s="65"/>
      <c r="F127" s="66" t="str">
        <f>IF(Tabela1[[#This Row],[Cena/Em]]&lt;&gt;0,(IFERROR(ROUND(SUM(Tabela1[[#This Row],[Količina]]*Tabela1[[#This Row],[Cena/Em]]),2),"")),"Preveri vnos cene")</f>
        <v>Preveri vnos cene</v>
      </c>
    </row>
    <row r="128" spans="1:6" ht="63.75">
      <c r="A128" s="70" t="s">
        <v>249</v>
      </c>
      <c r="B128" s="61" t="s">
        <v>220</v>
      </c>
      <c r="C128" s="63" t="s">
        <v>226</v>
      </c>
      <c r="D128" s="64">
        <v>4</v>
      </c>
      <c r="E128" s="65"/>
      <c r="F128" s="66" t="str">
        <f>IF(Tabela1[[#This Row],[Cena/Em]]&lt;&gt;0,(IFERROR(ROUND(SUM(Tabela1[[#This Row],[Količina]]*Tabela1[[#This Row],[Cena/Em]]),2),"")),"Preveri vnos cene")</f>
        <v>Preveri vnos cene</v>
      </c>
    </row>
    <row r="129" spans="1:6" ht="70.5" customHeight="1">
      <c r="A129" s="70" t="s">
        <v>250</v>
      </c>
      <c r="B129" s="61" t="s">
        <v>221</v>
      </c>
      <c r="C129" s="63" t="s">
        <v>226</v>
      </c>
      <c r="D129" s="64">
        <v>7</v>
      </c>
      <c r="E129" s="65"/>
      <c r="F129" s="66" t="str">
        <f>IF(Tabela1[[#This Row],[Cena/Em]]&lt;&gt;0,(IFERROR(ROUND(SUM(Tabela1[[#This Row],[Količina]]*Tabela1[[#This Row],[Cena/Em]]),2),"")),"Preveri vnos cene")</f>
        <v>Preveri vnos cene</v>
      </c>
    </row>
    <row r="130" spans="1:6">
      <c r="A130" s="70" t="s">
        <v>251</v>
      </c>
      <c r="B130" s="61" t="s">
        <v>222</v>
      </c>
      <c r="C130" s="63" t="s">
        <v>44</v>
      </c>
      <c r="D130" s="64">
        <v>60</v>
      </c>
      <c r="E130" s="65"/>
      <c r="F130" s="66" t="str">
        <f>IF(Tabela1[[#This Row],[Cena/Em]]&lt;&gt;0,(IFERROR(ROUND(SUM(Tabela1[[#This Row],[Količina]]*Tabela1[[#This Row],[Cena/Em]]),2),"")),"Preveri vnos cene")</f>
        <v>Preveri vnos cene</v>
      </c>
    </row>
    <row r="131" spans="1:6" s="125" customFormat="1" ht="25.5">
      <c r="A131" s="70" t="s">
        <v>274</v>
      </c>
      <c r="B131" s="61" t="s">
        <v>223</v>
      </c>
      <c r="C131" s="63" t="s">
        <v>43</v>
      </c>
      <c r="D131" s="64">
        <v>47.5</v>
      </c>
      <c r="E131" s="65"/>
      <c r="F131" s="66" t="str">
        <f>IF(Tabela1[[#This Row],[Cena/Em]]&lt;&gt;0,(IFERROR(ROUND(SUM(Tabela1[[#This Row],[Količina]]*Tabela1[[#This Row],[Cena/Em]]),2),"")),"Preveri vnos cene")</f>
        <v>Preveri vnos cene</v>
      </c>
    </row>
    <row r="132" spans="1:6" s="125" customFormat="1" ht="38.25">
      <c r="A132" s="70" t="s">
        <v>275</v>
      </c>
      <c r="B132" s="61" t="s">
        <v>228</v>
      </c>
      <c r="C132" s="63" t="s">
        <v>43</v>
      </c>
      <c r="D132" s="64">
        <v>25.8</v>
      </c>
      <c r="E132" s="65"/>
      <c r="F132" s="66" t="str">
        <f>IF(Tabela1[[#This Row],[Cena/Em]]&lt;&gt;0,(IFERROR(ROUND(SUM(Tabela1[[#This Row],[Količina]]*Tabela1[[#This Row],[Cena/Em]]),2),"")),"Preveri vnos cene")</f>
        <v>Preveri vnos cene</v>
      </c>
    </row>
    <row r="133" spans="1:6" s="125" customFormat="1" ht="51">
      <c r="A133" s="70" t="s">
        <v>276</v>
      </c>
      <c r="B133" s="61" t="s">
        <v>246</v>
      </c>
      <c r="C133" s="63"/>
      <c r="D133" s="64"/>
      <c r="E133" s="65"/>
      <c r="F133" s="66"/>
    </row>
    <row r="134" spans="1:6" s="125" customFormat="1" ht="15" customHeight="1">
      <c r="A134" s="70"/>
      <c r="B134" s="126" t="s">
        <v>225</v>
      </c>
      <c r="C134" s="63" t="s">
        <v>48</v>
      </c>
      <c r="D134" s="64">
        <v>30</v>
      </c>
      <c r="E134" s="65"/>
      <c r="F134" s="66" t="str">
        <f>IF(Tabela1[[#This Row],[Cena/Em]]&lt;&gt;0,(IFERROR(ROUND(SUM(Tabela1[[#This Row],[Količina]]*Tabela1[[#This Row],[Cena/Em]]),2),"")),"Preveri vnos cene")</f>
        <v>Preveri vnos cene</v>
      </c>
    </row>
    <row r="135" spans="1:6" s="125" customFormat="1" ht="15" customHeight="1">
      <c r="A135" s="70"/>
      <c r="B135" s="126" t="s">
        <v>224</v>
      </c>
      <c r="C135" s="63" t="s">
        <v>48</v>
      </c>
      <c r="D135" s="64">
        <v>40</v>
      </c>
      <c r="E135" s="65"/>
      <c r="F135" s="66" t="str">
        <f>IF(Tabela1[[#This Row],[Cena/Em]]&lt;&gt;0,(IFERROR(ROUND(SUM(Tabela1[[#This Row],[Količina]]*Tabela1[[#This Row],[Cena/Em]]),2),"")),"Preveri vnos cene")</f>
        <v>Preveri vnos cene</v>
      </c>
    </row>
    <row r="136" spans="1:6" s="125" customFormat="1" ht="7.5" customHeight="1">
      <c r="A136" s="70"/>
      <c r="B136" s="61"/>
      <c r="C136" s="63"/>
      <c r="D136" s="64"/>
      <c r="E136" s="124"/>
      <c r="F136" s="66"/>
    </row>
    <row r="137" spans="1:6" s="125" customFormat="1" ht="15" customHeight="1">
      <c r="A137" s="69" t="s">
        <v>206</v>
      </c>
      <c r="B137" s="50" t="s">
        <v>234</v>
      </c>
      <c r="C137" s="51"/>
      <c r="D137" s="52"/>
      <c r="E137" s="53"/>
      <c r="F137" s="54">
        <f>SUMIF(A138:A5544,"=E.II.*",F138:F5544)</f>
        <v>0</v>
      </c>
    </row>
    <row r="138" spans="1:6" s="125" customFormat="1" ht="63.75" customHeight="1">
      <c r="A138" s="70" t="s">
        <v>252</v>
      </c>
      <c r="B138" s="61" t="s">
        <v>235</v>
      </c>
      <c r="C138" s="63" t="s">
        <v>44</v>
      </c>
      <c r="D138" s="64">
        <v>45</v>
      </c>
      <c r="E138" s="65"/>
      <c r="F138" s="66" t="str">
        <f>IF(Tabela1[[#This Row],[Cena/Em]]&lt;&gt;0,(IFERROR(ROUND(SUM(Tabela1[[#This Row],[Količina]]*Tabela1[[#This Row],[Cena/Em]]),2),"")),"Preveri vnos cene")</f>
        <v>Preveri vnos cene</v>
      </c>
    </row>
    <row r="139" spans="1:6" s="125" customFormat="1" ht="91.5" customHeight="1">
      <c r="A139" s="70" t="s">
        <v>253</v>
      </c>
      <c r="B139" s="61" t="s">
        <v>236</v>
      </c>
      <c r="C139" s="63" t="s">
        <v>43</v>
      </c>
      <c r="D139" s="64">
        <v>18</v>
      </c>
      <c r="E139" s="65"/>
      <c r="F139" s="66" t="str">
        <f>IF(Tabela1[[#This Row],[Cena/Em]]&lt;&gt;0,(IFERROR(ROUND(SUM(Tabela1[[#This Row],[Količina]]*Tabela1[[#This Row],[Cena/Em]]),2),"")),"Preveri vnos cene")</f>
        <v>Preveri vnos cene</v>
      </c>
    </row>
    <row r="140" spans="1:6" s="125" customFormat="1" ht="30" customHeight="1">
      <c r="A140" s="70" t="s">
        <v>254</v>
      </c>
      <c r="B140" s="61" t="s">
        <v>237</v>
      </c>
      <c r="C140" s="63" t="s">
        <v>43</v>
      </c>
      <c r="D140" s="64">
        <v>4.5</v>
      </c>
      <c r="E140" s="65"/>
      <c r="F140" s="66" t="str">
        <f>IF(Tabela1[[#This Row],[Cena/Em]]&lt;&gt;0,(IFERROR(ROUND(SUM(Tabela1[[#This Row],[Količina]]*Tabela1[[#This Row],[Cena/Em]]),2),"")),"Preveri vnos cene")</f>
        <v>Preveri vnos cene</v>
      </c>
    </row>
    <row r="141" spans="1:6" s="125" customFormat="1" ht="26.25" customHeight="1">
      <c r="A141" s="70" t="s">
        <v>277</v>
      </c>
      <c r="B141" s="61" t="s">
        <v>240</v>
      </c>
      <c r="C141" s="63" t="s">
        <v>44</v>
      </c>
      <c r="D141" s="64">
        <v>128</v>
      </c>
      <c r="E141" s="65"/>
      <c r="F141" s="66" t="str">
        <f>IF(Tabela1[[#This Row],[Cena/Em]]&lt;&gt;0,(IFERROR(ROUND(SUM(Tabela1[[#This Row],[Količina]]*Tabela1[[#This Row],[Cena/Em]]),2),"")),"Preveri vnos cene")</f>
        <v>Preveri vnos cene</v>
      </c>
    </row>
    <row r="142" spans="1:6" s="125" customFormat="1" ht="27.75" customHeight="1">
      <c r="A142" s="70" t="s">
        <v>278</v>
      </c>
      <c r="B142" s="61" t="s">
        <v>241</v>
      </c>
      <c r="C142" s="63" t="s">
        <v>44</v>
      </c>
      <c r="D142" s="64">
        <v>128</v>
      </c>
      <c r="E142" s="65"/>
      <c r="F142" s="66" t="str">
        <f>IF(Tabela1[[#This Row],[Cena/Em]]&lt;&gt;0,(IFERROR(ROUND(SUM(Tabela1[[#This Row],[Količina]]*Tabela1[[#This Row],[Cena/Em]]),2),"")),"Preveri vnos cene")</f>
        <v>Preveri vnos cene</v>
      </c>
    </row>
    <row r="143" spans="1:6" s="125" customFormat="1" ht="41.25" customHeight="1">
      <c r="A143" s="70" t="s">
        <v>279</v>
      </c>
      <c r="B143" s="61" t="s">
        <v>242</v>
      </c>
      <c r="C143" s="63" t="s">
        <v>44</v>
      </c>
      <c r="D143" s="64">
        <v>130</v>
      </c>
      <c r="E143" s="65"/>
      <c r="F143" s="66" t="str">
        <f>IF(Tabela1[[#This Row],[Cena/Em]]&lt;&gt;0,(IFERROR(ROUND(SUM(Tabela1[[#This Row],[Količina]]*Tabela1[[#This Row],[Cena/Em]]),2),"")),"Preveri vnos cene")</f>
        <v>Preveri vnos cene</v>
      </c>
    </row>
    <row r="144" spans="1:6" s="125" customFormat="1" ht="39.75" customHeight="1">
      <c r="A144" s="70" t="s">
        <v>280</v>
      </c>
      <c r="B144" s="61" t="s">
        <v>243</v>
      </c>
      <c r="C144" s="63" t="s">
        <v>43</v>
      </c>
      <c r="D144" s="64">
        <v>48.5</v>
      </c>
      <c r="E144" s="65"/>
      <c r="F144" s="66" t="str">
        <f>IF(Tabela1[[#This Row],[Cena/Em]]&lt;&gt;0,(IFERROR(ROUND(SUM(Tabela1[[#This Row],[Količina]]*Tabela1[[#This Row],[Cena/Em]]),2),"")),"Preveri vnos cene")</f>
        <v>Preveri vnos cene</v>
      </c>
    </row>
    <row r="145" spans="1:6" s="125" customFormat="1" ht="15" customHeight="1">
      <c r="A145" s="70" t="s">
        <v>281</v>
      </c>
      <c r="B145" s="61" t="s">
        <v>244</v>
      </c>
      <c r="C145" s="63" t="s">
        <v>44</v>
      </c>
      <c r="D145" s="64">
        <v>135</v>
      </c>
      <c r="E145" s="65"/>
      <c r="F145" s="66" t="str">
        <f>IF(Tabela1[[#This Row],[Cena/Em]]&lt;&gt;0,(IFERROR(ROUND(SUM(Tabela1[[#This Row],[Količina]]*Tabela1[[#This Row],[Cena/Em]]),2),"")),"Preveri vnos cene")</f>
        <v>Preveri vnos cene</v>
      </c>
    </row>
    <row r="146" spans="1:6" s="125" customFormat="1" ht="40.5" customHeight="1" thickBot="1">
      <c r="A146" s="70" t="s">
        <v>282</v>
      </c>
      <c r="B146" s="61" t="s">
        <v>245</v>
      </c>
      <c r="C146" s="63" t="s">
        <v>43</v>
      </c>
      <c r="D146" s="64">
        <v>20</v>
      </c>
      <c r="E146" s="65"/>
      <c r="F146" s="66" t="str">
        <f>IF(Tabela1[[#This Row],[Cena/Em]]&lt;&gt;0,(IFERROR(ROUND(SUM(Tabela1[[#This Row],[Količina]]*Tabela1[[#This Row],[Cena/Em]]),2),"")),"Preveri vnos cene")</f>
        <v>Preveri vnos cene</v>
      </c>
    </row>
    <row r="147" spans="1:6" s="125" customFormat="1" ht="7.5" customHeight="1" thickBot="1">
      <c r="A147" s="70"/>
      <c r="B147" s="61"/>
      <c r="C147" s="63"/>
      <c r="D147" s="64"/>
      <c r="E147" s="124"/>
      <c r="F147" s="66"/>
    </row>
    <row r="148" spans="1:6" ht="27.75" customHeight="1" thickBot="1">
      <c r="A148" s="88"/>
      <c r="B148" s="109" t="s">
        <v>397</v>
      </c>
      <c r="C148" s="89"/>
      <c r="D148" s="90"/>
      <c r="E148" s="91"/>
      <c r="F148" s="92"/>
    </row>
    <row r="149" spans="1:6">
      <c r="A149" s="68" t="s">
        <v>283</v>
      </c>
      <c r="B149" s="45" t="s">
        <v>285</v>
      </c>
      <c r="C149" s="46"/>
      <c r="D149" s="47"/>
      <c r="E149" s="107"/>
      <c r="F149" s="49">
        <f>SUM(F150,F153,F159,F161,F163)</f>
        <v>0</v>
      </c>
    </row>
    <row r="150" spans="1:6">
      <c r="A150" s="69" t="s">
        <v>284</v>
      </c>
      <c r="B150" s="50" t="s">
        <v>46</v>
      </c>
      <c r="C150" s="51"/>
      <c r="D150" s="52"/>
      <c r="E150" s="53"/>
      <c r="F150" s="54">
        <f>SUMIF(A151:A5524,"=G.I.*",F151:F5524)</f>
        <v>0</v>
      </c>
    </row>
    <row r="151" spans="1:6" ht="15" customHeight="1">
      <c r="A151" s="70" t="s">
        <v>286</v>
      </c>
      <c r="B151" s="61" t="s">
        <v>171</v>
      </c>
      <c r="C151" s="63" t="s">
        <v>44</v>
      </c>
      <c r="D151" s="64">
        <v>15</v>
      </c>
      <c r="E151" s="65"/>
      <c r="F151" s="66" t="str">
        <f>IF(Tabela1[[#This Row],[Cena/Em]]&lt;&gt;0,(IFERROR(ROUND(SUM(Tabela1[[#This Row],[Količina]]*Tabela1[[#This Row],[Cena/Em]]),2),"")),"Preveri vnos cene")</f>
        <v>Preveri vnos cene</v>
      </c>
    </row>
    <row r="152" spans="1:6">
      <c r="A152" s="70" t="s">
        <v>287</v>
      </c>
      <c r="B152" s="61" t="s">
        <v>169</v>
      </c>
      <c r="C152" s="63" t="s">
        <v>47</v>
      </c>
      <c r="D152" s="64">
        <v>1</v>
      </c>
      <c r="E152" s="65"/>
      <c r="F152" s="66" t="str">
        <f>IF(Tabela1[[#This Row],[Cena/Em]]&lt;&gt;0,(IFERROR(ROUND(SUM(Tabela1[[#This Row],[Količina]]*Tabela1[[#This Row],[Cena/Em]]),2),"")),"Preveri vnos cene")</f>
        <v>Preveri vnos cene</v>
      </c>
    </row>
    <row r="153" spans="1:6">
      <c r="A153" s="69" t="s">
        <v>299</v>
      </c>
      <c r="B153" s="50" t="s">
        <v>376</v>
      </c>
      <c r="C153" s="51"/>
      <c r="D153" s="52"/>
      <c r="E153" s="53"/>
      <c r="F153" s="54">
        <f>SUMIF(A154:A5534,"=G.II.*",F154:F5534)</f>
        <v>0</v>
      </c>
    </row>
    <row r="154" spans="1:6">
      <c r="A154" s="70" t="s">
        <v>301</v>
      </c>
      <c r="B154" s="61" t="s">
        <v>288</v>
      </c>
      <c r="C154" s="63" t="s">
        <v>44</v>
      </c>
      <c r="D154" s="64">
        <v>120</v>
      </c>
      <c r="E154" s="67"/>
      <c r="F154" s="66" t="str">
        <f>IF(Tabela1[[#This Row],[Cena/Em]]&lt;&gt;0,(IFERROR(ROUND(SUM(Tabela1[[#This Row],[Količina]]*Tabela1[[#This Row],[Cena/Em]]),2),"")),"Preveri vnos cene")</f>
        <v>Preveri vnos cene</v>
      </c>
    </row>
    <row r="155" spans="1:6">
      <c r="A155" s="70" t="s">
        <v>305</v>
      </c>
      <c r="B155" s="61" t="s">
        <v>385</v>
      </c>
      <c r="C155" s="63" t="s">
        <v>44</v>
      </c>
      <c r="D155" s="64">
        <v>10</v>
      </c>
      <c r="E155" s="67"/>
      <c r="F155" s="66" t="str">
        <f>IF(Tabela1[[#This Row],[Cena/Em]]&lt;&gt;0,(IFERROR(ROUND(SUM(Tabela1[[#This Row],[Količina]]*Tabela1[[#This Row],[Cena/Em]]),2),"")),"Preveri vnos cene")</f>
        <v>Preveri vnos cene</v>
      </c>
    </row>
    <row r="156" spans="1:6" ht="25.5">
      <c r="A156" s="70" t="s">
        <v>306</v>
      </c>
      <c r="B156" s="61" t="s">
        <v>289</v>
      </c>
      <c r="C156" s="56" t="s">
        <v>47</v>
      </c>
      <c r="D156" s="64">
        <v>1</v>
      </c>
      <c r="E156" s="67"/>
      <c r="F156" s="66" t="str">
        <f>IF(Tabela1[[#This Row],[Cena/Em]]&lt;&gt;0,(IFERROR(ROUND(SUM(Tabela1[[#This Row],[Količina]]*Tabela1[[#This Row],[Cena/Em]]),2),"")),"Preveri vnos cene")</f>
        <v>Preveri vnos cene</v>
      </c>
    </row>
    <row r="157" spans="1:6" ht="25.5">
      <c r="A157" s="70" t="s">
        <v>307</v>
      </c>
      <c r="B157" s="61" t="s">
        <v>290</v>
      </c>
      <c r="C157" s="63" t="s">
        <v>44</v>
      </c>
      <c r="D157" s="64">
        <v>47</v>
      </c>
      <c r="E157" s="67"/>
      <c r="F157" s="66" t="str">
        <f>IF(Tabela1[[#This Row],[Cena/Em]]&lt;&gt;0,(IFERROR(ROUND(SUM(Tabela1[[#This Row],[Količina]]*Tabela1[[#This Row],[Cena/Em]]),2),"")),"Preveri vnos cene")</f>
        <v>Preveri vnos cene</v>
      </c>
    </row>
    <row r="158" spans="1:6">
      <c r="A158" s="70" t="s">
        <v>308</v>
      </c>
      <c r="B158" s="61" t="s">
        <v>291</v>
      </c>
      <c r="C158" s="56" t="s">
        <v>45</v>
      </c>
      <c r="D158" s="64">
        <v>1</v>
      </c>
      <c r="E158" s="67"/>
      <c r="F158" s="66" t="str">
        <f>IF(Tabela1[[#This Row],[Cena/Em]]&lt;&gt;0,(IFERROR(ROUND(SUM(Tabela1[[#This Row],[Količina]]*Tabela1[[#This Row],[Cena/Em]]),2),"")),"Preveri vnos cene")</f>
        <v>Preveri vnos cene</v>
      </c>
    </row>
    <row r="159" spans="1:6">
      <c r="A159" s="69" t="s">
        <v>300</v>
      </c>
      <c r="B159" s="50" t="s">
        <v>293</v>
      </c>
      <c r="C159" s="51"/>
      <c r="D159" s="52"/>
      <c r="E159" s="53"/>
      <c r="F159" s="54">
        <f>SUMIF(A160:A5547,"=G.III.*",F160:F5547)</f>
        <v>0</v>
      </c>
    </row>
    <row r="160" spans="1:6" ht="25.5">
      <c r="A160" s="70" t="s">
        <v>302</v>
      </c>
      <c r="B160" s="61" t="s">
        <v>292</v>
      </c>
      <c r="C160" s="56" t="s">
        <v>43</v>
      </c>
      <c r="D160" s="64">
        <v>0.4</v>
      </c>
      <c r="E160" s="65"/>
      <c r="F160" s="66" t="str">
        <f>IF(Tabela1[[#This Row],[Cena/Em]]&lt;&gt;0,(IFERROR(ROUND(SUM(Tabela1[[#This Row],[Količina]]*Tabela1[[#This Row],[Cena/Em]]),2),"")),"Preveri vnos cene")</f>
        <v>Preveri vnos cene</v>
      </c>
    </row>
    <row r="161" spans="1:6">
      <c r="A161" s="69" t="s">
        <v>309</v>
      </c>
      <c r="B161" s="50" t="s">
        <v>184</v>
      </c>
      <c r="C161" s="51"/>
      <c r="D161" s="52"/>
      <c r="E161" s="53"/>
      <c r="F161" s="54">
        <f>SUMIF(A162:A5551,"=G.IV*",F162:F5551)</f>
        <v>0</v>
      </c>
    </row>
    <row r="162" spans="1:6" ht="51">
      <c r="A162" s="70" t="s">
        <v>310</v>
      </c>
      <c r="B162" s="61" t="s">
        <v>294</v>
      </c>
      <c r="C162" s="63" t="s">
        <v>44</v>
      </c>
      <c r="D162" s="64">
        <v>270</v>
      </c>
      <c r="E162" s="65"/>
      <c r="F162" s="66" t="str">
        <f>IF(Tabela1[[#This Row],[Cena/Em]]&lt;&gt;0,(IFERROR(ROUND(SUM(Tabela1[[#This Row],[Količina]]*Tabela1[[#This Row],[Cena/Em]]),2),"")),"Preveri vnos cene")</f>
        <v>Preveri vnos cene</v>
      </c>
    </row>
    <row r="163" spans="1:6">
      <c r="A163" s="69" t="s">
        <v>311</v>
      </c>
      <c r="B163" s="50" t="s">
        <v>195</v>
      </c>
      <c r="C163" s="51"/>
      <c r="D163" s="52"/>
      <c r="E163" s="53"/>
      <c r="F163" s="54">
        <f>SUMIF(A164:A5559,"=G.V.*",F164:F5559)</f>
        <v>0</v>
      </c>
    </row>
    <row r="164" spans="1:6" ht="76.5">
      <c r="A164" s="70" t="s">
        <v>312</v>
      </c>
      <c r="B164" s="61" t="s">
        <v>295</v>
      </c>
      <c r="C164" s="60" t="s">
        <v>45</v>
      </c>
      <c r="D164" s="64">
        <v>2</v>
      </c>
      <c r="E164" s="65"/>
      <c r="F164" s="66" t="str">
        <f>IF(Tabela1[[#This Row],[Cena/Em]]&lt;&gt;0,(IFERROR(ROUND(SUM(Tabela1[[#This Row],[Količina]]*Tabela1[[#This Row],[Cena/Em]]),2),"")),"Preveri vnos cene")</f>
        <v>Preveri vnos cene</v>
      </c>
    </row>
    <row r="165" spans="1:6" ht="38.25">
      <c r="A165" s="70" t="s">
        <v>313</v>
      </c>
      <c r="B165" s="61" t="s">
        <v>382</v>
      </c>
      <c r="C165" s="60" t="s">
        <v>44</v>
      </c>
      <c r="D165" s="64">
        <v>47</v>
      </c>
      <c r="E165" s="65"/>
      <c r="F165" s="66" t="str">
        <f>IF(Tabela1[[#This Row],[Cena/Em]]&lt;&gt;0,(IFERROR(ROUND(SUM(Tabela1[[#This Row],[Količina]]*Tabela1[[#This Row],[Cena/Em]]),2),"")),"Preveri vnos cene")</f>
        <v>Preveri vnos cene</v>
      </c>
    </row>
    <row r="166" spans="1:6" ht="38.25">
      <c r="A166" s="70" t="s">
        <v>314</v>
      </c>
      <c r="B166" s="61" t="s">
        <v>296</v>
      </c>
      <c r="C166" s="60" t="s">
        <v>44</v>
      </c>
      <c r="D166" s="64">
        <v>47</v>
      </c>
      <c r="E166" s="65"/>
      <c r="F166" s="66" t="str">
        <f>IF(Tabela1[[#This Row],[Cena/Em]]&lt;&gt;0,(IFERROR(ROUND(SUM(Tabela1[[#This Row],[Količina]]*Tabela1[[#This Row],[Cena/Em]]),2),"")),"Preveri vnos cene")</f>
        <v>Preveri vnos cene</v>
      </c>
    </row>
    <row r="167" spans="1:6" ht="7.5" customHeight="1" thickBot="1">
      <c r="A167" s="70"/>
      <c r="B167" s="61"/>
      <c r="C167" s="63"/>
      <c r="D167" s="64"/>
      <c r="E167" s="65"/>
      <c r="F167" s="66"/>
    </row>
    <row r="168" spans="1:6" ht="15" customHeight="1" thickBot="1">
      <c r="A168" s="88"/>
      <c r="B168" s="109" t="s">
        <v>377</v>
      </c>
      <c r="C168" s="89"/>
      <c r="D168" s="90"/>
      <c r="E168" s="91"/>
      <c r="F168" s="92"/>
    </row>
    <row r="169" spans="1:6">
      <c r="A169" s="68" t="s">
        <v>317</v>
      </c>
      <c r="B169" s="45" t="s">
        <v>297</v>
      </c>
      <c r="C169" s="46"/>
      <c r="D169" s="47"/>
      <c r="E169" s="107"/>
      <c r="F169" s="49">
        <f>SUM(F170,F173,F175,F186,F189)</f>
        <v>0</v>
      </c>
    </row>
    <row r="170" spans="1:6">
      <c r="A170" s="69" t="s">
        <v>318</v>
      </c>
      <c r="B170" s="50" t="s">
        <v>46</v>
      </c>
      <c r="C170" s="51"/>
      <c r="D170" s="52"/>
      <c r="E170" s="53"/>
      <c r="F170" s="54">
        <f>SUMIF(A171:A5549,"=H.I.*",F171:F5549)</f>
        <v>0</v>
      </c>
    </row>
    <row r="171" spans="1:6">
      <c r="A171" s="70" t="s">
        <v>319</v>
      </c>
      <c r="B171" s="61" t="s">
        <v>168</v>
      </c>
      <c r="C171" s="63" t="s">
        <v>47</v>
      </c>
      <c r="D171" s="64">
        <v>1</v>
      </c>
      <c r="E171" s="65"/>
      <c r="F171" s="66" t="str">
        <f>IF(Tabela1[[#This Row],[Cena/Em]]&lt;&gt;0,(IFERROR(ROUND(SUM(Tabela1[[#This Row],[Količina]]*Tabela1[[#This Row],[Cena/Em]]),2),"")),"Preveri vnos cene")</f>
        <v>Preveri vnos cene</v>
      </c>
    </row>
    <row r="172" spans="1:6">
      <c r="A172" s="70" t="s">
        <v>321</v>
      </c>
      <c r="B172" s="61" t="s">
        <v>169</v>
      </c>
      <c r="C172" s="63" t="s">
        <v>47</v>
      </c>
      <c r="D172" s="64">
        <v>1</v>
      </c>
      <c r="E172" s="65"/>
      <c r="F172" s="66" t="str">
        <f>IF(Tabela1[[#This Row],[Cena/Em]]&lt;&gt;0,(IFERROR(ROUND(SUM(Tabela1[[#This Row],[Količina]]*Tabela1[[#This Row],[Cena/Em]]),2),"")),"Preveri vnos cene")</f>
        <v>Preveri vnos cene</v>
      </c>
    </row>
    <row r="173" spans="1:6">
      <c r="A173" s="69" t="s">
        <v>322</v>
      </c>
      <c r="B173" s="50" t="s">
        <v>376</v>
      </c>
      <c r="C173" s="51"/>
      <c r="D173" s="52"/>
      <c r="E173" s="53"/>
      <c r="F173" s="54">
        <f>SUMIF(A174:A5559,"=H.II.*",F174:F5559)</f>
        <v>0</v>
      </c>
    </row>
    <row r="174" spans="1:6" ht="51">
      <c r="A174" s="70" t="s">
        <v>320</v>
      </c>
      <c r="B174" s="61" t="s">
        <v>298</v>
      </c>
      <c r="C174" s="63" t="s">
        <v>44</v>
      </c>
      <c r="D174" s="64">
        <v>120</v>
      </c>
      <c r="E174" s="67"/>
      <c r="F174" s="66" t="str">
        <f>IF(Tabela1[[#This Row],[Cena/Em]]&lt;&gt;0,(IFERROR(ROUND(SUM(Tabela1[[#This Row],[Količina]]*Tabela1[[#This Row],[Cena/Em]]),2),"")),"Preveri vnos cene")</f>
        <v>Preveri vnos cene</v>
      </c>
    </row>
    <row r="175" spans="1:6">
      <c r="A175" s="69" t="s">
        <v>323</v>
      </c>
      <c r="B175" s="50" t="s">
        <v>234</v>
      </c>
      <c r="C175" s="51"/>
      <c r="D175" s="52"/>
      <c r="E175" s="53"/>
      <c r="F175" s="54">
        <f>SUMIF(A176:A5572,"=H.III.*",F176:F5572)</f>
        <v>0</v>
      </c>
    </row>
    <row r="176" spans="1:6" ht="81.75" customHeight="1">
      <c r="A176" s="70" t="s">
        <v>324</v>
      </c>
      <c r="B176" s="61" t="s">
        <v>304</v>
      </c>
      <c r="C176" s="56" t="s">
        <v>44</v>
      </c>
      <c r="D176" s="64">
        <v>470</v>
      </c>
      <c r="E176" s="65"/>
      <c r="F176" s="66" t="str">
        <f>IF(Tabela1[[#This Row],[Cena/Em]]&lt;&gt;0,(IFERROR(ROUND(SUM(Tabela1[[#This Row],[Količina]]*Tabela1[[#This Row],[Cena/Em]]),2),"")),"Preveri vnos cene")</f>
        <v>Preveri vnos cene</v>
      </c>
    </row>
    <row r="177" spans="1:6" ht="102">
      <c r="A177" s="70" t="s">
        <v>325</v>
      </c>
      <c r="B177" s="61" t="s">
        <v>303</v>
      </c>
      <c r="C177" s="63" t="s">
        <v>43</v>
      </c>
      <c r="D177" s="64">
        <v>140</v>
      </c>
      <c r="E177" s="65"/>
      <c r="F177" s="66" t="str">
        <f>IF(Tabela1[[#This Row],[Cena/Em]]&lt;&gt;0,(IFERROR(ROUND(SUM(Tabela1[[#This Row],[Količina]]*Tabela1[[#This Row],[Cena/Em]]),2),"")),"Preveri vnos cene")</f>
        <v>Preveri vnos cene</v>
      </c>
    </row>
    <row r="178" spans="1:6" ht="27.75" customHeight="1">
      <c r="A178" s="70" t="s">
        <v>326</v>
      </c>
      <c r="B178" s="61" t="s">
        <v>237</v>
      </c>
      <c r="C178" s="63" t="s">
        <v>43</v>
      </c>
      <c r="D178" s="64">
        <v>15</v>
      </c>
      <c r="E178" s="65"/>
      <c r="F178" s="66" t="str">
        <f>IF(Tabela1[[#This Row],[Cena/Em]]&lt;&gt;0,(IFERROR(ROUND(SUM(Tabela1[[#This Row],[Količina]]*Tabela1[[#This Row],[Cena/Em]]),2),"")),"Preveri vnos cene")</f>
        <v>Preveri vnos cene</v>
      </c>
    </row>
    <row r="179" spans="1:6" ht="25.5">
      <c r="A179" s="70" t="s">
        <v>327</v>
      </c>
      <c r="B179" s="61" t="s">
        <v>240</v>
      </c>
      <c r="C179" s="63" t="s">
        <v>44</v>
      </c>
      <c r="D179" s="64">
        <v>470</v>
      </c>
      <c r="E179" s="65"/>
      <c r="F179" s="66" t="str">
        <f>IF(Tabela1[[#This Row],[Cena/Em]]&lt;&gt;0,(IFERROR(ROUND(SUM(Tabela1[[#This Row],[Količina]]*Tabela1[[#This Row],[Cena/Em]]),2),"")),"Preveri vnos cene")</f>
        <v>Preveri vnos cene</v>
      </c>
    </row>
    <row r="180" spans="1:6" ht="25.5">
      <c r="A180" s="70" t="s">
        <v>328</v>
      </c>
      <c r="B180" s="61" t="s">
        <v>241</v>
      </c>
      <c r="C180" s="63" t="s">
        <v>44</v>
      </c>
      <c r="D180" s="64">
        <v>470</v>
      </c>
      <c r="E180" s="65"/>
      <c r="F180" s="66" t="str">
        <f>IF(Tabela1[[#This Row],[Cena/Em]]&lt;&gt;0,(IFERROR(ROUND(SUM(Tabela1[[#This Row],[Količina]]*Tabela1[[#This Row],[Cena/Em]]),2),"")),"Preveri vnos cene")</f>
        <v>Preveri vnos cene</v>
      </c>
    </row>
    <row r="181" spans="1:6" ht="38.25">
      <c r="A181" s="70" t="s">
        <v>329</v>
      </c>
      <c r="B181" s="61" t="s">
        <v>273</v>
      </c>
      <c r="C181" s="63" t="s">
        <v>44</v>
      </c>
      <c r="D181" s="64">
        <v>470</v>
      </c>
      <c r="E181" s="65"/>
      <c r="F181" s="66" t="str">
        <f>IF(Tabela1[[#This Row],[Cena/Em]]&lt;&gt;0,(IFERROR(ROUND(SUM(Tabela1[[#This Row],[Količina]]*Tabela1[[#This Row],[Cena/Em]]),2),"")),"Preveri vnos cene")</f>
        <v>Preveri vnos cene</v>
      </c>
    </row>
    <row r="182" spans="1:6" ht="51">
      <c r="A182" s="70" t="s">
        <v>330</v>
      </c>
      <c r="B182" s="61" t="s">
        <v>339</v>
      </c>
      <c r="C182" s="63" t="s">
        <v>43</v>
      </c>
      <c r="D182" s="64">
        <v>108</v>
      </c>
      <c r="E182" s="65"/>
      <c r="F182" s="66" t="str">
        <f>IF(Tabela1[[#This Row],[Cena/Em]]&lt;&gt;0,(IFERROR(ROUND(SUM(Tabela1[[#This Row],[Količina]]*Tabela1[[#This Row],[Cena/Em]]),2),"")),"Preveri vnos cene")</f>
        <v>Preveri vnos cene</v>
      </c>
    </row>
    <row r="183" spans="1:6" ht="51">
      <c r="A183" s="70" t="s">
        <v>331</v>
      </c>
      <c r="B183" s="61" t="s">
        <v>341</v>
      </c>
      <c r="C183" s="63" t="s">
        <v>43</v>
      </c>
      <c r="D183" s="64">
        <v>72</v>
      </c>
      <c r="E183" s="65"/>
      <c r="F183" s="66" t="str">
        <f>IF(Tabela1[[#This Row],[Cena/Em]]&lt;&gt;0,(IFERROR(ROUND(SUM(Tabela1[[#This Row],[Količina]]*Tabela1[[#This Row],[Cena/Em]]),2),"")),"Preveri vnos cene")</f>
        <v>Preveri vnos cene</v>
      </c>
    </row>
    <row r="184" spans="1:6" ht="25.5">
      <c r="A184" s="70" t="s">
        <v>340</v>
      </c>
      <c r="B184" s="61" t="s">
        <v>342</v>
      </c>
      <c r="C184" s="63" t="s">
        <v>44</v>
      </c>
      <c r="D184" s="64">
        <v>470</v>
      </c>
      <c r="E184" s="65"/>
      <c r="F184" s="66" t="str">
        <f>IF(Tabela1[[#This Row],[Cena/Em]]&lt;&gt;0,(IFERROR(ROUND(SUM(Tabela1[[#This Row],[Količina]]*Tabela1[[#This Row],[Cena/Em]]),2),"")),"Preveri vnos cene")</f>
        <v>Preveri vnos cene</v>
      </c>
    </row>
    <row r="185" spans="1:6">
      <c r="A185" s="70" t="s">
        <v>343</v>
      </c>
      <c r="B185" s="61" t="s">
        <v>244</v>
      </c>
      <c r="C185" s="63" t="s">
        <v>44</v>
      </c>
      <c r="D185" s="64">
        <v>35</v>
      </c>
      <c r="E185" s="65"/>
      <c r="F185" s="66" t="str">
        <f>IF(Tabela1[[#This Row],[Cena/Em]]&lt;&gt;0,(IFERROR(ROUND(SUM(Tabela1[[#This Row],[Količina]]*Tabela1[[#This Row],[Cena/Em]]),2),"")),"Preveri vnos cene")</f>
        <v>Preveri vnos cene</v>
      </c>
    </row>
    <row r="186" spans="1:6">
      <c r="A186" s="69" t="s">
        <v>332</v>
      </c>
      <c r="B186" s="50" t="s">
        <v>443</v>
      </c>
      <c r="C186" s="51"/>
      <c r="D186" s="52"/>
      <c r="E186" s="53"/>
      <c r="F186" s="54">
        <f>SUMIF(A187:A5576,"=H.IV*",F187:F5576)</f>
        <v>0</v>
      </c>
    </row>
    <row r="187" spans="1:6" ht="54.75" customHeight="1">
      <c r="A187" s="70" t="s">
        <v>333</v>
      </c>
      <c r="B187" s="61" t="s">
        <v>315</v>
      </c>
      <c r="C187" s="63" t="s">
        <v>1</v>
      </c>
      <c r="D187" s="64">
        <v>33</v>
      </c>
      <c r="E187" s="65"/>
      <c r="F187" s="66" t="str">
        <f>IF(Tabela1[[#This Row],[Cena/Em]]&lt;&gt;0,(IFERROR(ROUND(SUM(Tabela1[[#This Row],[Količina]]*Tabela1[[#This Row],[Cena/Em]]),2),"")),"Preveri vnos cene")</f>
        <v>Preveri vnos cene</v>
      </c>
    </row>
    <row r="188" spans="1:6" ht="31.5" customHeight="1">
      <c r="A188" s="70" t="s">
        <v>405</v>
      </c>
      <c r="B188" s="61" t="s">
        <v>406</v>
      </c>
      <c r="C188" s="63" t="s">
        <v>44</v>
      </c>
      <c r="D188" s="66">
        <v>150</v>
      </c>
      <c r="E188" s="147"/>
      <c r="F188" s="66" t="str">
        <f>IF(Tabela1[[#This Row],[Cena/Em]]&lt;&gt;0,(IFERROR(ROUND(SUM(Tabela1[[#This Row],[Količina]]*Tabela1[[#This Row],[Cena/Em]]),2),"")),"Preveri vnos cene")</f>
        <v>Preveri vnos cene</v>
      </c>
    </row>
    <row r="189" spans="1:6">
      <c r="A189" s="69" t="s">
        <v>334</v>
      </c>
      <c r="B189" s="50" t="s">
        <v>195</v>
      </c>
      <c r="C189" s="51"/>
      <c r="D189" s="52"/>
      <c r="E189" s="53"/>
      <c r="F189" s="54">
        <f>SUMIF(A190:A5584,"=H.V.*",F190:F5584)</f>
        <v>0</v>
      </c>
    </row>
    <row r="190" spans="1:6" ht="25.5">
      <c r="A190" s="70" t="s">
        <v>335</v>
      </c>
      <c r="B190" s="61" t="s">
        <v>316</v>
      </c>
      <c r="C190" s="60" t="s">
        <v>44</v>
      </c>
      <c r="D190" s="64">
        <v>15.5</v>
      </c>
      <c r="E190" s="65"/>
      <c r="F190" s="66" t="str">
        <f>IF(Tabela1[[#This Row],[Cena/Em]]&lt;&gt;0,(IFERROR(ROUND(SUM(Tabela1[[#This Row],[Količina]]*Tabela1[[#This Row],[Cena/Em]]),2),"")),"Preveri vnos cene")</f>
        <v>Preveri vnos cene</v>
      </c>
    </row>
    <row r="191" spans="1:6" ht="51">
      <c r="A191" s="70" t="s">
        <v>336</v>
      </c>
      <c r="B191" s="61" t="s">
        <v>348</v>
      </c>
      <c r="C191" s="60" t="s">
        <v>44</v>
      </c>
      <c r="D191" s="64">
        <v>108</v>
      </c>
      <c r="E191" s="65"/>
      <c r="F191" s="66" t="str">
        <f>IF(Tabela1[[#This Row],[Cena/Em]]&lt;&gt;0,(IFERROR(ROUND(SUM(Tabela1[[#This Row],[Količina]]*Tabela1[[#This Row],[Cena/Em]]),2),"")),"Preveri vnos cene")</f>
        <v>Preveri vnos cene</v>
      </c>
    </row>
    <row r="192" spans="1:6" ht="25.5">
      <c r="A192" s="70" t="s">
        <v>337</v>
      </c>
      <c r="B192" s="61" t="s">
        <v>344</v>
      </c>
      <c r="C192" s="63" t="s">
        <v>44</v>
      </c>
      <c r="D192" s="64">
        <v>380</v>
      </c>
      <c r="E192" s="65"/>
      <c r="F192" s="66" t="str">
        <f>IF(Tabela1[[#This Row],[Cena/Em]]&lt;&gt;0,(IFERROR(ROUND(SUM(Tabela1[[#This Row],[Količina]]*Tabela1[[#This Row],[Cena/Em]]),2),"")),"Preveri vnos cene")</f>
        <v>Preveri vnos cene</v>
      </c>
    </row>
    <row r="193" spans="1:6" ht="25.5">
      <c r="A193" s="70" t="s">
        <v>338</v>
      </c>
      <c r="B193" s="61" t="s">
        <v>345</v>
      </c>
      <c r="C193" s="63" t="s">
        <v>44</v>
      </c>
      <c r="D193" s="64">
        <v>380</v>
      </c>
      <c r="E193" s="65"/>
      <c r="F193" s="66" t="str">
        <f>IF(Tabela1[[#This Row],[Cena/Em]]&lt;&gt;0,(IFERROR(ROUND(SUM(Tabela1[[#This Row],[Količina]]*Tabela1[[#This Row],[Cena/Em]]),2),"")),"Preveri vnos cene")</f>
        <v>Preveri vnos cene</v>
      </c>
    </row>
    <row r="194" spans="1:6" ht="77.25" customHeight="1">
      <c r="A194" s="70" t="s">
        <v>346</v>
      </c>
      <c r="B194" s="61" t="s">
        <v>347</v>
      </c>
      <c r="C194" s="63" t="s">
        <v>1</v>
      </c>
      <c r="D194" s="64">
        <v>148</v>
      </c>
      <c r="E194" s="65"/>
      <c r="F194" s="66" t="str">
        <f>IF(Tabela1[[#This Row],[Cena/Em]]&lt;&gt;0,(IFERROR(ROUND(SUM(Tabela1[[#This Row],[Količina]]*Tabela1[[#This Row],[Cena/Em]]),2),"")),"Preveri vnos cene")</f>
        <v>Preveri vnos cene</v>
      </c>
    </row>
    <row r="195" spans="1:6" ht="25.5">
      <c r="A195" s="70" t="s">
        <v>378</v>
      </c>
      <c r="B195" s="61" t="s">
        <v>379</v>
      </c>
      <c r="C195" s="63" t="s">
        <v>44</v>
      </c>
      <c r="D195" s="64">
        <v>170</v>
      </c>
      <c r="E195" s="65"/>
      <c r="F195" s="66" t="str">
        <f>IF(Tabela1[[#This Row],[Cena/Em]]&lt;&gt;0,(IFERROR(ROUND(SUM(Tabela1[[#This Row],[Količina]]*Tabela1[[#This Row],[Cena/Em]]),2),"")),"Preveri vnos cene")</f>
        <v>Preveri vnos cene</v>
      </c>
    </row>
    <row r="196" spans="1:6" ht="7.5" customHeight="1" thickBot="1">
      <c r="A196" s="133"/>
      <c r="B196" s="73"/>
      <c r="C196" s="134"/>
      <c r="D196" s="131"/>
      <c r="E196" s="132"/>
      <c r="F196" s="131"/>
    </row>
    <row r="197" spans="1:6" ht="15.75" thickBot="1">
      <c r="A197" s="88"/>
      <c r="B197" s="109" t="s">
        <v>204</v>
      </c>
      <c r="C197" s="89"/>
      <c r="D197" s="90"/>
      <c r="E197" s="91"/>
      <c r="F197" s="92"/>
    </row>
    <row r="198" spans="1:6">
      <c r="A198" s="103" t="s">
        <v>350</v>
      </c>
      <c r="B198" s="104" t="s">
        <v>258</v>
      </c>
      <c r="C198" s="105"/>
      <c r="D198" s="106"/>
      <c r="E198" s="107"/>
      <c r="F198" s="108">
        <f>SUM(F199,F204,F208,F210,F216)</f>
        <v>0</v>
      </c>
    </row>
    <row r="199" spans="1:6">
      <c r="A199" s="69" t="s">
        <v>351</v>
      </c>
      <c r="B199" s="50" t="s">
        <v>208</v>
      </c>
      <c r="C199" s="51"/>
      <c r="D199" s="52"/>
      <c r="E199" s="53"/>
      <c r="F199" s="54">
        <f>SUMIF(A200:A5564,"=I.I.*",F200:F5564)</f>
        <v>0</v>
      </c>
    </row>
    <row r="200" spans="1:6" ht="63.75">
      <c r="A200" s="70" t="s">
        <v>352</v>
      </c>
      <c r="B200" s="61" t="s">
        <v>209</v>
      </c>
      <c r="C200" s="63" t="s">
        <v>47</v>
      </c>
      <c r="D200" s="64">
        <v>1</v>
      </c>
      <c r="E200" s="65"/>
      <c r="F200" s="66" t="str">
        <f>IF(Tabela1[[#This Row],[Cena/Em]]&lt;&gt;0,(IFERROR(ROUND(SUM(Tabela1[[#This Row],[Količina]]*Tabela1[[#This Row],[Cena/Em]]),2),"")),"Preveri vnos cene")</f>
        <v>Preveri vnos cene</v>
      </c>
    </row>
    <row r="201" spans="1:6">
      <c r="A201" s="70" t="s">
        <v>353</v>
      </c>
      <c r="B201" s="61" t="s">
        <v>210</v>
      </c>
      <c r="C201" s="63" t="s">
        <v>1</v>
      </c>
      <c r="D201" s="64">
        <v>250</v>
      </c>
      <c r="E201" s="65"/>
      <c r="F201" s="66" t="str">
        <f>IF(Tabela1[[#This Row],[Cena/Em]]&lt;&gt;0,(IFERROR(ROUND(SUM(Tabela1[[#This Row],[Količina]]*Tabela1[[#This Row],[Cena/Em]]),2),"")),"Preveri vnos cene")</f>
        <v>Preveri vnos cene</v>
      </c>
    </row>
    <row r="202" spans="1:6" ht="38.25">
      <c r="A202" s="70" t="s">
        <v>354</v>
      </c>
      <c r="B202" s="61" t="s">
        <v>370</v>
      </c>
      <c r="C202" s="63" t="s">
        <v>47</v>
      </c>
      <c r="D202" s="64">
        <v>1</v>
      </c>
      <c r="E202" s="65"/>
      <c r="F202" s="66" t="str">
        <f>IF(Tabela1[[#This Row],[Cena/Em]]&lt;&gt;0,(IFERROR(ROUND(SUM(Tabela1[[#This Row],[Količina]]*Tabela1[[#This Row],[Cena/Em]]),2),"")),"Preveri vnos cene")</f>
        <v>Preveri vnos cene</v>
      </c>
    </row>
    <row r="203" spans="1:6">
      <c r="A203" s="70" t="s">
        <v>355</v>
      </c>
      <c r="B203" s="61" t="s">
        <v>371</v>
      </c>
      <c r="C203" s="63" t="s">
        <v>47</v>
      </c>
      <c r="D203" s="64">
        <v>1</v>
      </c>
      <c r="E203" s="65"/>
      <c r="F203" s="66" t="str">
        <f>IF(Tabela1[[#This Row],[Cena/Em]]&lt;&gt;0,(IFERROR(ROUND(SUM(Tabela1[[#This Row],[Količina]]*Tabela1[[#This Row],[Cena/Em]]),2),"")),"Preveri vnos cene")</f>
        <v>Preveri vnos cene</v>
      </c>
    </row>
    <row r="204" spans="1:6">
      <c r="A204" s="69" t="s">
        <v>356</v>
      </c>
      <c r="B204" s="50" t="s">
        <v>211</v>
      </c>
      <c r="C204" s="51"/>
      <c r="D204" s="52"/>
      <c r="E204" s="53"/>
      <c r="F204" s="54">
        <f>SUMIF(A205:A5567,"=I.II.*",F205:F5567)</f>
        <v>0</v>
      </c>
    </row>
    <row r="205" spans="1:6" ht="76.5">
      <c r="A205" s="70" t="s">
        <v>357</v>
      </c>
      <c r="B205" s="61" t="s">
        <v>394</v>
      </c>
      <c r="C205" s="63" t="s">
        <v>1</v>
      </c>
      <c r="D205" s="64">
        <v>330</v>
      </c>
      <c r="E205" s="65"/>
      <c r="F205" s="66" t="str">
        <f>IF(Tabela1[[#This Row],[Cena/Em]]&lt;&gt;0,(IFERROR(ROUND(SUM(Tabela1[[#This Row],[Količina]]*Tabela1[[#This Row],[Cena/Em]]),2),"")),"Preveri vnos cene")</f>
        <v>Preveri vnos cene</v>
      </c>
    </row>
    <row r="206" spans="1:6" ht="25.5">
      <c r="A206" s="70" t="s">
        <v>358</v>
      </c>
      <c r="B206" s="61" t="s">
        <v>213</v>
      </c>
      <c r="C206" s="63" t="s">
        <v>43</v>
      </c>
      <c r="D206" s="64">
        <v>120</v>
      </c>
      <c r="E206" s="65"/>
      <c r="F206" s="66" t="str">
        <f>IF(Tabela1[[#This Row],[Cena/Em]]&lt;&gt;0,(IFERROR(ROUND(SUM(Tabela1[[#This Row],[Količina]]*Tabela1[[#This Row],[Cena/Em]]),2),"")),"Preveri vnos cene")</f>
        <v>Preveri vnos cene</v>
      </c>
    </row>
    <row r="207" spans="1:6" ht="25.5">
      <c r="A207" s="70" t="s">
        <v>359</v>
      </c>
      <c r="B207" s="61" t="s">
        <v>212</v>
      </c>
      <c r="C207" s="63" t="s">
        <v>45</v>
      </c>
      <c r="D207" s="64">
        <v>148</v>
      </c>
      <c r="E207" s="65"/>
      <c r="F207" s="66" t="str">
        <f>IF(Tabela1[[#This Row],[Cena/Em]]&lt;&gt;0,(IFERROR(ROUND(SUM(Tabela1[[#This Row],[Količina]]*Tabela1[[#This Row],[Cena/Em]]),2),"")),"Preveri vnos cene")</f>
        <v>Preveri vnos cene</v>
      </c>
    </row>
    <row r="208" spans="1:6">
      <c r="A208" s="69" t="s">
        <v>360</v>
      </c>
      <c r="B208" s="50" t="s">
        <v>349</v>
      </c>
      <c r="C208" s="51"/>
      <c r="D208" s="52"/>
      <c r="E208" s="53"/>
      <c r="F208" s="54">
        <f>SUMIF(A209:A5571,"=I.III.*",F209:F5571)</f>
        <v>0</v>
      </c>
    </row>
    <row r="209" spans="1:6" ht="41.25" customHeight="1">
      <c r="A209" s="70" t="s">
        <v>361</v>
      </c>
      <c r="B209" s="61" t="s">
        <v>422</v>
      </c>
      <c r="C209" s="63" t="s">
        <v>44</v>
      </c>
      <c r="D209" s="64">
        <v>45</v>
      </c>
      <c r="E209" s="65"/>
      <c r="F209" s="66" t="str">
        <f>IF(Tabela1[[#This Row],[Cena/Em]]&lt;&gt;0,(IFERROR(ROUND(SUM(Tabela1[[#This Row],[Količina]]*Tabela1[[#This Row],[Cena/Em]]),2),"")),"Preveri vnos cene")</f>
        <v>Preveri vnos cene</v>
      </c>
    </row>
    <row r="210" spans="1:6">
      <c r="A210" s="69" t="s">
        <v>362</v>
      </c>
      <c r="B210" s="50" t="s">
        <v>214</v>
      </c>
      <c r="C210" s="51"/>
      <c r="D210" s="52"/>
      <c r="E210" s="53"/>
      <c r="F210" s="54">
        <f>SUMIF(A211:A5577,"=I.IV.*",F211:F5577)</f>
        <v>0</v>
      </c>
    </row>
    <row r="211" spans="1:6">
      <c r="A211" s="70" t="s">
        <v>363</v>
      </c>
      <c r="B211" s="61" t="s">
        <v>368</v>
      </c>
      <c r="C211" s="63" t="s">
        <v>45</v>
      </c>
      <c r="D211" s="64">
        <v>1</v>
      </c>
      <c r="E211" s="65"/>
      <c r="F211" s="66" t="str">
        <f>IF(Tabela1[[#This Row],[Cena/Em]]&lt;&gt;0,(IFERROR(ROUND(SUM(Tabela1[[#This Row],[Količina]]*Tabela1[[#This Row],[Cena/Em]]),2),"")),"Preveri vnos cene")</f>
        <v>Preveri vnos cene</v>
      </c>
    </row>
    <row r="212" spans="1:6">
      <c r="A212" s="70" t="s">
        <v>364</v>
      </c>
      <c r="B212" s="61" t="s">
        <v>373</v>
      </c>
      <c r="C212" s="63" t="s">
        <v>45</v>
      </c>
      <c r="D212" s="64">
        <v>2</v>
      </c>
      <c r="E212" s="65"/>
      <c r="F212" s="66" t="str">
        <f>IF(Tabela1[[#This Row],[Cena/Em]]&lt;&gt;0,(IFERROR(ROUND(SUM(Tabela1[[#This Row],[Količina]]*Tabela1[[#This Row],[Cena/Em]]),2),"")),"Preveri vnos cene")</f>
        <v>Preveri vnos cene</v>
      </c>
    </row>
    <row r="213" spans="1:6" ht="25.5">
      <c r="A213" s="70" t="s">
        <v>365</v>
      </c>
      <c r="B213" s="61" t="s">
        <v>369</v>
      </c>
      <c r="C213" s="63" t="s">
        <v>47</v>
      </c>
      <c r="D213" s="64">
        <v>1</v>
      </c>
      <c r="E213" s="65"/>
      <c r="F213" s="66" t="str">
        <f>IF(Tabela1[[#This Row],[Cena/Em]]&lt;&gt;0,(IFERROR(ROUND(SUM(Tabela1[[#This Row],[Količina]]*Tabela1[[#This Row],[Cena/Em]]),2),"")),"Preveri vnos cene")</f>
        <v>Preveri vnos cene</v>
      </c>
    </row>
    <row r="214" spans="1:6" ht="25.5">
      <c r="A214" s="70" t="s">
        <v>366</v>
      </c>
      <c r="B214" s="61" t="s">
        <v>372</v>
      </c>
      <c r="C214" s="63" t="s">
        <v>47</v>
      </c>
      <c r="D214" s="64">
        <v>1</v>
      </c>
      <c r="E214" s="65"/>
      <c r="F214" s="66" t="str">
        <f>IF(Tabela1[[#This Row],[Cena/Em]]&lt;&gt;0,(IFERROR(ROUND(SUM(Tabela1[[#This Row],[Količina]]*Tabela1[[#This Row],[Cena/Em]]),2),"")),"Preveri vnos cene")</f>
        <v>Preveri vnos cene</v>
      </c>
    </row>
    <row r="215" spans="1:6" ht="25.5">
      <c r="A215" s="70" t="s">
        <v>367</v>
      </c>
      <c r="B215" s="61" t="s">
        <v>374</v>
      </c>
      <c r="C215" s="63" t="s">
        <v>47</v>
      </c>
      <c r="D215" s="64">
        <v>1</v>
      </c>
      <c r="E215" s="65"/>
      <c r="F215" s="66" t="str">
        <f>IF(Tabela1[[#This Row],[Cena/Em]]&lt;&gt;0,(IFERROR(ROUND(SUM(Tabela1[[#This Row],[Količina]]*Tabela1[[#This Row],[Cena/Em]]),2),"")),"Preveri vnos cene")</f>
        <v>Preveri vnos cene</v>
      </c>
    </row>
    <row r="216" spans="1:6">
      <c r="A216" s="69" t="s">
        <v>398</v>
      </c>
      <c r="B216" s="50" t="s">
        <v>401</v>
      </c>
      <c r="C216" s="51"/>
      <c r="D216" s="52"/>
      <c r="E216" s="53"/>
      <c r="F216" s="54">
        <f>SUMIF(A217:A5583,"=I.V.*",F217:F5583)</f>
        <v>0</v>
      </c>
    </row>
    <row r="217" spans="1:6">
      <c r="A217" s="70" t="s">
        <v>399</v>
      </c>
      <c r="B217" s="61" t="s">
        <v>400</v>
      </c>
      <c r="C217" s="63" t="s">
        <v>48</v>
      </c>
      <c r="D217" s="64">
        <v>80</v>
      </c>
      <c r="E217" s="65"/>
      <c r="F217" s="66" t="str">
        <f>IF(Tabela1[[#This Row],[Cena/Em]]&lt;&gt;0,(IFERROR(ROUND(SUM(Tabela1[[#This Row],[Količina]]*Tabela1[[#This Row],[Cena/Em]]),2),"")),"Preveri vnos cene")</f>
        <v>Preveri vnos cene</v>
      </c>
    </row>
    <row r="218" spans="1:6" ht="7.5" customHeight="1" thickBot="1">
      <c r="A218" s="70"/>
      <c r="B218" s="61"/>
      <c r="C218" s="63"/>
      <c r="D218" s="64"/>
      <c r="E218" s="65"/>
      <c r="F218" s="66"/>
    </row>
    <row r="219" spans="1:6" ht="15.75" thickBot="1">
      <c r="A219" s="88"/>
      <c r="B219" s="109" t="s">
        <v>413</v>
      </c>
      <c r="C219" s="89"/>
      <c r="D219" s="90"/>
      <c r="E219" s="91"/>
      <c r="F219" s="92"/>
    </row>
    <row r="220" spans="1:6">
      <c r="A220" s="140" t="s">
        <v>407</v>
      </c>
      <c r="B220" s="141" t="s">
        <v>414</v>
      </c>
      <c r="C220" s="142"/>
      <c r="D220" s="143"/>
      <c r="E220" s="107"/>
      <c r="F220" s="144">
        <f>SUM(F221)</f>
        <v>0</v>
      </c>
    </row>
    <row r="221" spans="1:6">
      <c r="A221" s="145" t="s">
        <v>408</v>
      </c>
      <c r="B221" s="50" t="s">
        <v>413</v>
      </c>
      <c r="C221" s="51"/>
      <c r="D221" s="52"/>
      <c r="E221" s="53"/>
      <c r="F221" s="146">
        <f>SUMIF(A222:A5573,"=J.I.*",F222:F5573)</f>
        <v>0</v>
      </c>
    </row>
    <row r="222" spans="1:6">
      <c r="A222" s="135" t="s">
        <v>409</v>
      </c>
      <c r="B222" s="61" t="s">
        <v>415</v>
      </c>
      <c r="C222" s="63" t="s">
        <v>417</v>
      </c>
      <c r="D222" s="64">
        <v>150</v>
      </c>
      <c r="E222" s="65"/>
      <c r="F222" s="66" t="str">
        <f>IF(Tabela1[[#This Row],[Cena/Em]]&lt;&gt;0,(IFERROR(ROUND(SUM(Tabela1[[#This Row],[Količina]]*Tabela1[[#This Row],[Cena/Em]]),2),"")),"Preveri vnos cene")</f>
        <v>Preveri vnos cene</v>
      </c>
    </row>
    <row r="223" spans="1:6">
      <c r="A223" s="135" t="s">
        <v>410</v>
      </c>
      <c r="B223" s="61" t="s">
        <v>416</v>
      </c>
      <c r="C223" s="63" t="s">
        <v>47</v>
      </c>
      <c r="D223" s="64">
        <v>1</v>
      </c>
      <c r="E223" s="65"/>
      <c r="F223" s="66" t="str">
        <f>IF(Tabela1[[#This Row],[Cena/Em]]&lt;&gt;0,(IFERROR(ROUND(SUM(Tabela1[[#This Row],[Količina]]*Tabela1[[#This Row],[Cena/Em]]),2),"")),"Preveri vnos cene")</f>
        <v>Preveri vnos cene</v>
      </c>
    </row>
    <row r="224" spans="1:6">
      <c r="A224" s="135" t="s">
        <v>411</v>
      </c>
      <c r="B224" s="61" t="s">
        <v>425</v>
      </c>
      <c r="C224" s="63" t="s">
        <v>417</v>
      </c>
      <c r="D224" s="64">
        <v>150</v>
      </c>
      <c r="E224" s="65"/>
      <c r="F224" s="66" t="str">
        <f>IF(Tabela1[[#This Row],[Cena/Em]]&lt;&gt;0,(IFERROR(ROUND(SUM(Tabela1[[#This Row],[Količina]]*Tabela1[[#This Row],[Cena/Em]]),2),"")),"Preveri vnos cene")</f>
        <v>Preveri vnos cene</v>
      </c>
    </row>
    <row r="225" spans="1:6" ht="26.25" thickBot="1">
      <c r="A225" s="136" t="s">
        <v>412</v>
      </c>
      <c r="B225" s="137" t="s">
        <v>418</v>
      </c>
      <c r="C225" s="138" t="s">
        <v>47</v>
      </c>
      <c r="D225" s="139">
        <v>1</v>
      </c>
      <c r="E225" s="65"/>
      <c r="F225" s="66" t="str">
        <f>IF(Tabela1[[#This Row],[Cena/Em]]&lt;&gt;0,(IFERROR(ROUND(SUM(Tabela1[[#This Row],[Količina]]*Tabela1[[#This Row],[Cena/Em]]),2),"")),"Preveri vnos cene")</f>
        <v>Preveri vnos cene</v>
      </c>
    </row>
    <row r="226" spans="1:6">
      <c r="A226"/>
    </row>
    <row r="227" spans="1:6">
      <c r="A227"/>
    </row>
    <row r="228" spans="1:6">
      <c r="A228"/>
    </row>
    <row r="229" spans="1:6">
      <c r="A229"/>
    </row>
    <row r="230" spans="1:6">
      <c r="A230"/>
    </row>
    <row r="231" spans="1:6">
      <c r="A231"/>
    </row>
    <row r="232" spans="1:6">
      <c r="A232"/>
    </row>
    <row r="233" spans="1:6">
      <c r="A233"/>
    </row>
    <row r="234" spans="1:6">
      <c r="A234"/>
    </row>
    <row r="235" spans="1:6">
      <c r="A235"/>
    </row>
    <row r="236" spans="1:6">
      <c r="A236"/>
    </row>
    <row r="237" spans="1:6">
      <c r="A237"/>
    </row>
    <row r="238" spans="1:6">
      <c r="A238"/>
    </row>
    <row r="239" spans="1:6">
      <c r="A239"/>
    </row>
    <row r="240" spans="1:6">
      <c r="A240"/>
    </row>
    <row r="241" spans="1:1">
      <c r="A241"/>
    </row>
    <row r="242" spans="1:1">
      <c r="A242"/>
    </row>
    <row r="243" spans="1:1">
      <c r="A243"/>
    </row>
    <row r="244" spans="1:1">
      <c r="A244"/>
    </row>
    <row r="245" spans="1:1">
      <c r="A245"/>
    </row>
    <row r="246" spans="1:1">
      <c r="A246"/>
    </row>
    <row r="247" spans="1:1">
      <c r="A247"/>
    </row>
    <row r="248" spans="1:1">
      <c r="A248"/>
    </row>
  </sheetData>
  <phoneticPr fontId="17" type="noConversion"/>
  <conditionalFormatting sqref="A120:B120 D120:F120 A121:E121 A122 C122:E122 A148:A150">
    <cfRule type="expression" dxfId="29" priority="18">
      <formula>CELL("protect",INDIRECT(ADDRESS(ROW(),COLUMN())))=0</formula>
    </cfRule>
  </conditionalFormatting>
  <conditionalFormatting sqref="A163:B163 D163:F163 A164:E164 A165:A166">
    <cfRule type="expression" dxfId="28" priority="11">
      <formula>CELL("protect",INDIRECT(ADDRESS(ROW(),COLUMN())))=0</formula>
    </cfRule>
  </conditionalFormatting>
  <conditionalFormatting sqref="A189:B189 D189:F189 A190:E190">
    <cfRule type="expression" dxfId="27" priority="8">
      <formula>CELL("protect",INDIRECT(ADDRESS(ROW(),COLUMN())))=0</formula>
    </cfRule>
  </conditionalFormatting>
  <conditionalFormatting sqref="B3 D3:F3 A3:A29 B4:E6 C7:E7 B8:E8 C8:C20 E9:E20 A21:F29 A30:B31 D30:F31 A32:F41 A42:B42 D42:F42 A43:F50 A51:B51 D51:F51 A52:F56 A57:B57 D57:F57 A58:F59 A60:D61 A62:B63 D62:F63 A64:F67 A68 C68:F68 A69:B69 D69:F69 A70:F78 A79:B79 D79:F79 A80:F85 A86:B86 D86:F86 A87:F89 A90:B90 D90:F90 A91:F95 A96:D97 A98:B99 D98:F99 A100:F103 A104:B104 D104:F104 A105:F111 A112:B112 D112:F112 A113:F116 A117:B117 D117:F117 A118:F119 A123:D124 A125:B126 D125:F126 A127:F135 A136:D136 F136 A137:B137 D137:F137 A138:F146 A147:D147 C148:D148 B148:B150 D149:F150 A151:F152 A153:B153 D153:F153 A154:F158 A159:B159 D159:F159 A160:F160 A161:B161 D161:F161 A162:F162 E164:F166 C165:D165 B166:D166 A167:F167 A168:D168 A169:B170 D169:F170 A171:F172 A173:B173 D173:F173 A174:F174 A175:B175 D175:F175 A176:F185 A186:B186 D186:F186 A187:F188 E190:F195 C191:D193 A191:A195 B194:D195 E196 A196:D197 A198:B199 D198:F199 A200:F203 A204:B204 D204:F204 A205:F207 A208:B208 D208:F208 A209:F209 A210:B210 D210:F210 A211:F211 A212 C212:F212 A213:F215 A216:B216 D216:F216 A217:F218 A219:D219 A220:B221 D220:D221 E220:F225 A222:D225 A226:B227 D226:F227 A228:F230 A231:B231 D231:F231 A232:F237">
    <cfRule type="expression" dxfId="26" priority="440">
      <formula>CELL("protect",INDIRECT(ADDRESS(ROW(),COLUMN())))=0</formula>
    </cfRule>
  </conditionalFormatting>
  <conditionalFormatting sqref="B7">
    <cfRule type="expression" dxfId="25" priority="439">
      <formula>CELL("protect",INDIRECT(ADDRESS(ROW(),COLUMN())))=0</formula>
    </cfRule>
  </conditionalFormatting>
  <conditionalFormatting sqref="B68">
    <cfRule type="expression" dxfId="24" priority="6">
      <formula>CELL("protect",INDIRECT(ADDRESS(ROW(),COLUMN())))=0</formula>
    </cfRule>
  </conditionalFormatting>
  <conditionalFormatting sqref="B122">
    <cfRule type="expression" dxfId="23" priority="17">
      <formula>CELL("protect",INDIRECT(ADDRESS(ROW(),COLUMN())))=0</formula>
    </cfRule>
  </conditionalFormatting>
  <conditionalFormatting sqref="B165">
    <cfRule type="expression" dxfId="22" priority="10">
      <formula>CELL("protect",INDIRECT(ADDRESS(ROW(),COLUMN())))=0</formula>
    </cfRule>
  </conditionalFormatting>
  <conditionalFormatting sqref="B191:B193">
    <cfRule type="expression" dxfId="21" priority="7">
      <formula>CELL("protect",INDIRECT(ADDRESS(ROW(),COLUMN())))=0</formula>
    </cfRule>
  </conditionalFormatting>
  <conditionalFormatting sqref="D9:D20">
    <cfRule type="expression" dxfId="20" priority="20">
      <formula>CELL("protect",INDIRECT(ADDRESS(ROW(),COLUMN())))=0</formula>
    </cfRule>
  </conditionalFormatting>
  <conditionalFormatting sqref="F3:F20">
    <cfRule type="expression" dxfId="19" priority="426">
      <formula>CELL("protect",INDIRECT(ADDRESS(ROW(),COLUMN())))=0</formula>
    </cfRule>
  </conditionalFormatting>
  <conditionalFormatting sqref="F30">
    <cfRule type="expression" dxfId="18" priority="48">
      <formula>CELL("protect",INDIRECT(ADDRESS(ROW(),COLUMN())))=0</formula>
    </cfRule>
  </conditionalFormatting>
  <conditionalFormatting sqref="F60:F62">
    <cfRule type="expression" dxfId="17" priority="47">
      <formula>CELL("protect",INDIRECT(ADDRESS(ROW(),COLUMN())))=0</formula>
    </cfRule>
  </conditionalFormatting>
  <conditionalFormatting sqref="F96:F98">
    <cfRule type="expression" dxfId="16" priority="19">
      <formula>CELL("protect",INDIRECT(ADDRESS(ROW(),COLUMN())))=0</formula>
    </cfRule>
  </conditionalFormatting>
  <conditionalFormatting sqref="F121:F125">
    <cfRule type="expression" dxfId="15" priority="5">
      <formula>CELL("protect",INDIRECT(ADDRESS(ROW(),COLUMN())))=0</formula>
    </cfRule>
  </conditionalFormatting>
  <conditionalFormatting sqref="F147:F149">
    <cfRule type="expression" dxfId="14" priority="12">
      <formula>CELL("protect",INDIRECT(ADDRESS(ROW(),COLUMN())))=0</formula>
    </cfRule>
  </conditionalFormatting>
  <conditionalFormatting sqref="F168:F169">
    <cfRule type="expression" dxfId="13" priority="9">
      <formula>CELL("protect",INDIRECT(ADDRESS(ROW(),COLUMN())))=0</formula>
    </cfRule>
  </conditionalFormatting>
  <conditionalFormatting sqref="F196:F198">
    <cfRule type="expression" dxfId="12" priority="44">
      <formula>CELL("protect",INDIRECT(ADDRESS(ROW(),COLUMN())))=0</formula>
    </cfRule>
  </conditionalFormatting>
  <conditionalFormatting sqref="F219:F220">
    <cfRule type="expression" dxfId="11" priority="1">
      <formula>CELL("protect",INDIRECT(ADDRESS(ROW(),COLUMN())))=0</formula>
    </cfRule>
  </conditionalFormatting>
  <dataValidations count="1">
    <dataValidation type="custom" allowBlank="1" showInputMessage="1" showErrorMessage="1" errorTitle="Preverite vnos" error="Ceno na EM je potrebno vnesti zaokroženo  na dve decimalni mesti." sqref="E2:E225" xr:uid="{14F6288F-7AC4-4617-8613-B775C8D15723}">
      <formula1>E2=ROUND(E2,2)</formula1>
    </dataValidation>
  </dataValidations>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REKAPITULACIJA</vt:lpstr>
      <vt:lpstr>Uvodna stran</vt:lpstr>
      <vt:lpstr>Popis 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Biljana Radić</cp:lastModifiedBy>
  <cp:lastPrinted>2021-09-01T08:10:48Z</cp:lastPrinted>
  <dcterms:created xsi:type="dcterms:W3CDTF">2019-11-21T21:15:12Z</dcterms:created>
  <dcterms:modified xsi:type="dcterms:W3CDTF">2024-05-14T06:56:02Z</dcterms:modified>
</cp:coreProperties>
</file>